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Управление отраслевого финансирования\Палладий_СВ\"/>
    </mc:Choice>
  </mc:AlternateContent>
  <bookViews>
    <workbookView xWindow="0" yWindow="0" windowWidth="28800" windowHeight="12315"/>
  </bookViews>
  <sheets>
    <sheet name="сентябрь 2025 (5)" sheetId="1" r:id="rId1"/>
  </sheets>
  <definedNames>
    <definedName name="_xlnm.Print_Titles" localSheetId="0">'сентябрь 2025 (5)'!$B:$C,'сентябрь 2025 (5)'!$4:$9</definedName>
    <definedName name="_xlnm.Print_Area" localSheetId="0">'сентябрь 2025 (5)'!$B$1:$AD$177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77" i="1" l="1"/>
  <c r="AA177" i="1"/>
  <c r="Z177" i="1"/>
  <c r="Y177" i="1"/>
  <c r="X177" i="1"/>
  <c r="U177" i="1"/>
  <c r="T177" i="1"/>
  <c r="R177" i="1"/>
  <c r="Q177" i="1"/>
  <c r="P177" i="1"/>
  <c r="O177" i="1"/>
  <c r="K177" i="1"/>
  <c r="J177" i="1"/>
  <c r="I177" i="1"/>
  <c r="H177" i="1"/>
  <c r="G177" i="1"/>
  <c r="AD176" i="1"/>
  <c r="AC176" i="1"/>
  <c r="AB176" i="1"/>
  <c r="V176" i="1"/>
  <c r="S176" i="1"/>
  <c r="S177" i="1" s="1"/>
  <c r="L176" i="1"/>
  <c r="M176" i="1" s="1"/>
  <c r="N176" i="1" s="1"/>
  <c r="F176" i="1"/>
  <c r="AC175" i="1"/>
  <c r="AD175" i="1" s="1"/>
  <c r="AB175" i="1"/>
  <c r="V175" i="1"/>
  <c r="S175" i="1"/>
  <c r="M175" i="1"/>
  <c r="N175" i="1" s="1"/>
  <c r="L175" i="1"/>
  <c r="L177" i="1" s="1"/>
  <c r="F175" i="1"/>
  <c r="AC174" i="1"/>
  <c r="AD174" i="1" s="1"/>
  <c r="AB174" i="1"/>
  <c r="AB177" i="1" s="1"/>
  <c r="V174" i="1"/>
  <c r="S174" i="1"/>
  <c r="N174" i="1"/>
  <c r="M174" i="1"/>
  <c r="L174" i="1"/>
  <c r="F174" i="1"/>
  <c r="AD173" i="1"/>
  <c r="AC173" i="1"/>
  <c r="AB173" i="1"/>
  <c r="V173" i="1"/>
  <c r="V177" i="1" s="1"/>
  <c r="N173" i="1"/>
  <c r="M173" i="1"/>
  <c r="M177" i="1" s="1"/>
  <c r="F173" i="1"/>
  <c r="AA172" i="1"/>
  <c r="Z172" i="1"/>
  <c r="Y172" i="1"/>
  <c r="AC172" i="1" s="1"/>
  <c r="X172" i="1"/>
  <c r="V172" i="1"/>
  <c r="U172" i="1"/>
  <c r="T172" i="1"/>
  <c r="R172" i="1"/>
  <c r="Q172" i="1"/>
  <c r="P172" i="1"/>
  <c r="O172" i="1"/>
  <c r="L172" i="1"/>
  <c r="K172" i="1"/>
  <c r="J172" i="1"/>
  <c r="I172" i="1"/>
  <c r="H172" i="1"/>
  <c r="G172" i="1"/>
  <c r="AC171" i="1"/>
  <c r="AD171" i="1" s="1"/>
  <c r="AB171" i="1"/>
  <c r="V171" i="1"/>
  <c r="S171" i="1"/>
  <c r="N171" i="1"/>
  <c r="M171" i="1"/>
  <c r="F171" i="1"/>
  <c r="AC170" i="1"/>
  <c r="AD170" i="1" s="1"/>
  <c r="AB170" i="1"/>
  <c r="V170" i="1"/>
  <c r="S170" i="1"/>
  <c r="N170" i="1"/>
  <c r="M170" i="1"/>
  <c r="F170" i="1"/>
  <c r="AC169" i="1"/>
  <c r="AD169" i="1" s="1"/>
  <c r="AB169" i="1"/>
  <c r="V169" i="1"/>
  <c r="S169" i="1"/>
  <c r="N169" i="1"/>
  <c r="M169" i="1"/>
  <c r="F169" i="1"/>
  <c r="AC168" i="1"/>
  <c r="AD168" i="1" s="1"/>
  <c r="AB168" i="1"/>
  <c r="V168" i="1"/>
  <c r="S168" i="1"/>
  <c r="N168" i="1"/>
  <c r="M168" i="1"/>
  <c r="F168" i="1"/>
  <c r="AC167" i="1"/>
  <c r="AD167" i="1" s="1"/>
  <c r="AB167" i="1"/>
  <c r="V167" i="1"/>
  <c r="S167" i="1"/>
  <c r="S172" i="1" s="1"/>
  <c r="N167" i="1"/>
  <c r="M167" i="1"/>
  <c r="F167" i="1"/>
  <c r="AC166" i="1"/>
  <c r="AB166" i="1"/>
  <c r="V166" i="1"/>
  <c r="S166" i="1"/>
  <c r="M166" i="1"/>
  <c r="M172" i="1" s="1"/>
  <c r="F166" i="1"/>
  <c r="AC165" i="1"/>
  <c r="AA165" i="1"/>
  <c r="Z165" i="1"/>
  <c r="Y165" i="1"/>
  <c r="X165" i="1"/>
  <c r="U165" i="1"/>
  <c r="T165" i="1"/>
  <c r="R165" i="1"/>
  <c r="Q165" i="1"/>
  <c r="P165" i="1"/>
  <c r="O165" i="1"/>
  <c r="L165" i="1"/>
  <c r="K165" i="1"/>
  <c r="J165" i="1"/>
  <c r="I165" i="1"/>
  <c r="H165" i="1"/>
  <c r="G165" i="1"/>
  <c r="AC164" i="1"/>
  <c r="AD164" i="1" s="1"/>
  <c r="AB164" i="1"/>
  <c r="V164" i="1"/>
  <c r="S164" i="1"/>
  <c r="M164" i="1"/>
  <c r="N164" i="1" s="1"/>
  <c r="F164" i="1"/>
  <c r="AC163" i="1"/>
  <c r="AD163" i="1" s="1"/>
  <c r="AB163" i="1"/>
  <c r="V163" i="1"/>
  <c r="S163" i="1"/>
  <c r="M163" i="1"/>
  <c r="N163" i="1" s="1"/>
  <c r="F163" i="1"/>
  <c r="AC162" i="1"/>
  <c r="AD162" i="1" s="1"/>
  <c r="AB162" i="1"/>
  <c r="V162" i="1"/>
  <c r="S162" i="1"/>
  <c r="M162" i="1"/>
  <c r="N162" i="1" s="1"/>
  <c r="F162" i="1"/>
  <c r="AC161" i="1"/>
  <c r="AD161" i="1" s="1"/>
  <c r="AB161" i="1"/>
  <c r="V161" i="1"/>
  <c r="S161" i="1"/>
  <c r="M161" i="1"/>
  <c r="N161" i="1" s="1"/>
  <c r="F161" i="1"/>
  <c r="AC160" i="1"/>
  <c r="AD160" i="1" s="1"/>
  <c r="AB160" i="1"/>
  <c r="V160" i="1"/>
  <c r="S160" i="1"/>
  <c r="M160" i="1"/>
  <c r="N160" i="1" s="1"/>
  <c r="F160" i="1"/>
  <c r="AC159" i="1"/>
  <c r="AD159" i="1" s="1"/>
  <c r="AB159" i="1"/>
  <c r="V159" i="1"/>
  <c r="S159" i="1"/>
  <c r="M159" i="1"/>
  <c r="N159" i="1" s="1"/>
  <c r="F159" i="1"/>
  <c r="AC158" i="1"/>
  <c r="AD158" i="1" s="1"/>
  <c r="AB158" i="1"/>
  <c r="V158" i="1"/>
  <c r="S158" i="1"/>
  <c r="M158" i="1"/>
  <c r="N158" i="1" s="1"/>
  <c r="F158" i="1"/>
  <c r="AC157" i="1"/>
  <c r="AD157" i="1" s="1"/>
  <c r="AB157" i="1"/>
  <c r="V157" i="1"/>
  <c r="V165" i="1" s="1"/>
  <c r="S157" i="1"/>
  <c r="S165" i="1" s="1"/>
  <c r="M157" i="1"/>
  <c r="N157" i="1" s="1"/>
  <c r="F157" i="1"/>
  <c r="AA156" i="1"/>
  <c r="Z156" i="1"/>
  <c r="Y156" i="1"/>
  <c r="AC156" i="1" s="1"/>
  <c r="X156" i="1"/>
  <c r="U156" i="1"/>
  <c r="T156" i="1"/>
  <c r="R156" i="1"/>
  <c r="Q156" i="1"/>
  <c r="P156" i="1"/>
  <c r="O156" i="1"/>
  <c r="L156" i="1"/>
  <c r="K156" i="1"/>
  <c r="J156" i="1"/>
  <c r="I156" i="1"/>
  <c r="H156" i="1"/>
  <c r="G156" i="1"/>
  <c r="AD155" i="1"/>
  <c r="AC155" i="1"/>
  <c r="AB155" i="1"/>
  <c r="V155" i="1"/>
  <c r="S155" i="1"/>
  <c r="M155" i="1"/>
  <c r="N155" i="1" s="1"/>
  <c r="F155" i="1"/>
  <c r="AD154" i="1"/>
  <c r="AC154" i="1"/>
  <c r="AB154" i="1"/>
  <c r="V154" i="1"/>
  <c r="S154" i="1"/>
  <c r="M154" i="1"/>
  <c r="N154" i="1" s="1"/>
  <c r="F154" i="1"/>
  <c r="AD153" i="1"/>
  <c r="AC153" i="1"/>
  <c r="AB153" i="1"/>
  <c r="V153" i="1"/>
  <c r="S153" i="1"/>
  <c r="M153" i="1"/>
  <c r="N153" i="1" s="1"/>
  <c r="F153" i="1"/>
  <c r="AD152" i="1"/>
  <c r="AC152" i="1"/>
  <c r="AB152" i="1"/>
  <c r="V152" i="1"/>
  <c r="S152" i="1"/>
  <c r="M152" i="1"/>
  <c r="N152" i="1" s="1"/>
  <c r="F152" i="1"/>
  <c r="AD151" i="1"/>
  <c r="AC151" i="1"/>
  <c r="AB151" i="1"/>
  <c r="V151" i="1"/>
  <c r="S151" i="1"/>
  <c r="M151" i="1"/>
  <c r="N151" i="1" s="1"/>
  <c r="F151" i="1"/>
  <c r="AD150" i="1"/>
  <c r="AC150" i="1"/>
  <c r="AB150" i="1"/>
  <c r="V150" i="1"/>
  <c r="V156" i="1" s="1"/>
  <c r="S150" i="1"/>
  <c r="S156" i="1" s="1"/>
  <c r="M150" i="1"/>
  <c r="M156" i="1" s="1"/>
  <c r="F150" i="1"/>
  <c r="AC149" i="1"/>
  <c r="AA149" i="1"/>
  <c r="Z149" i="1"/>
  <c r="Y149" i="1"/>
  <c r="X149" i="1"/>
  <c r="U149" i="1"/>
  <c r="T149" i="1"/>
  <c r="R149" i="1"/>
  <c r="Q149" i="1"/>
  <c r="P149" i="1"/>
  <c r="O149" i="1"/>
  <c r="L149" i="1"/>
  <c r="H149" i="1"/>
  <c r="G149" i="1"/>
  <c r="AC148" i="1"/>
  <c r="AD148" i="1" s="1"/>
  <c r="AB148" i="1"/>
  <c r="V148" i="1"/>
  <c r="S148" i="1"/>
  <c r="M148" i="1"/>
  <c r="N148" i="1" s="1"/>
  <c r="F148" i="1"/>
  <c r="AC147" i="1"/>
  <c r="AD147" i="1" s="1"/>
  <c r="AB147" i="1"/>
  <c r="V147" i="1"/>
  <c r="S147" i="1"/>
  <c r="M147" i="1"/>
  <c r="N147" i="1" s="1"/>
  <c r="F147" i="1"/>
  <c r="AC146" i="1"/>
  <c r="AD146" i="1" s="1"/>
  <c r="AB146" i="1"/>
  <c r="V146" i="1"/>
  <c r="S146" i="1"/>
  <c r="M146" i="1"/>
  <c r="N146" i="1" s="1"/>
  <c r="F146" i="1"/>
  <c r="AC145" i="1"/>
  <c r="AD145" i="1" s="1"/>
  <c r="AB145" i="1"/>
  <c r="V145" i="1"/>
  <c r="S145" i="1"/>
  <c r="M145" i="1"/>
  <c r="N145" i="1" s="1"/>
  <c r="F145" i="1"/>
  <c r="AC144" i="1"/>
  <c r="AD144" i="1" s="1"/>
  <c r="AB144" i="1"/>
  <c r="V144" i="1"/>
  <c r="V149" i="1" s="1"/>
  <c r="S144" i="1"/>
  <c r="S149" i="1" s="1"/>
  <c r="M144" i="1"/>
  <c r="N144" i="1" s="1"/>
  <c r="F144" i="1"/>
  <c r="AB143" i="1"/>
  <c r="M143" i="1"/>
  <c r="AC142" i="1"/>
  <c r="AA142" i="1"/>
  <c r="Z142" i="1"/>
  <c r="Y142" i="1"/>
  <c r="X142" i="1"/>
  <c r="U142" i="1"/>
  <c r="T142" i="1"/>
  <c r="R142" i="1"/>
  <c r="Q142" i="1"/>
  <c r="P142" i="1"/>
  <c r="O142" i="1"/>
  <c r="L142" i="1"/>
  <c r="K142" i="1"/>
  <c r="J142" i="1"/>
  <c r="I142" i="1"/>
  <c r="H142" i="1"/>
  <c r="G142" i="1"/>
  <c r="AD141" i="1"/>
  <c r="AC141" i="1"/>
  <c r="AB141" i="1"/>
  <c r="V141" i="1"/>
  <c r="S141" i="1"/>
  <c r="M141" i="1"/>
  <c r="F141" i="1"/>
  <c r="N141" i="1" s="1"/>
  <c r="AD140" i="1"/>
  <c r="AC140" i="1"/>
  <c r="AB140" i="1"/>
  <c r="V140" i="1"/>
  <c r="S140" i="1"/>
  <c r="M140" i="1"/>
  <c r="F140" i="1"/>
  <c r="N140" i="1" s="1"/>
  <c r="AD139" i="1"/>
  <c r="AC139" i="1"/>
  <c r="AB139" i="1"/>
  <c r="V139" i="1"/>
  <c r="S139" i="1"/>
  <c r="M139" i="1"/>
  <c r="F139" i="1"/>
  <c r="N139" i="1" s="1"/>
  <c r="AD138" i="1"/>
  <c r="AC138" i="1"/>
  <c r="AB138" i="1"/>
  <c r="V138" i="1"/>
  <c r="V142" i="1" s="1"/>
  <c r="S138" i="1"/>
  <c r="S142" i="1" s="1"/>
  <c r="M138" i="1"/>
  <c r="M142" i="1" s="1"/>
  <c r="F138" i="1"/>
  <c r="N138" i="1" s="1"/>
  <c r="AA137" i="1"/>
  <c r="Z137" i="1"/>
  <c r="Y137" i="1"/>
  <c r="AC137" i="1" s="1"/>
  <c r="X137" i="1"/>
  <c r="U137" i="1"/>
  <c r="T137" i="1"/>
  <c r="R137" i="1"/>
  <c r="Q137" i="1"/>
  <c r="P137" i="1"/>
  <c r="O137" i="1"/>
  <c r="M137" i="1"/>
  <c r="L137" i="1"/>
  <c r="K137" i="1"/>
  <c r="J137" i="1"/>
  <c r="I137" i="1"/>
  <c r="H137" i="1"/>
  <c r="G137" i="1"/>
  <c r="AD136" i="1"/>
  <c r="AC136" i="1"/>
  <c r="AB136" i="1"/>
  <c r="V136" i="1"/>
  <c r="S136" i="1"/>
  <c r="M136" i="1"/>
  <c r="N136" i="1" s="1"/>
  <c r="F136" i="1"/>
  <c r="AD135" i="1"/>
  <c r="AC135" i="1"/>
  <c r="AB135" i="1"/>
  <c r="V135" i="1"/>
  <c r="S135" i="1"/>
  <c r="M135" i="1"/>
  <c r="N135" i="1" s="1"/>
  <c r="F135" i="1"/>
  <c r="AD134" i="1"/>
  <c r="AC134" i="1"/>
  <c r="AB134" i="1"/>
  <c r="V134" i="1"/>
  <c r="S134" i="1"/>
  <c r="M134" i="1"/>
  <c r="N134" i="1" s="1"/>
  <c r="F134" i="1"/>
  <c r="AD133" i="1"/>
  <c r="AC133" i="1"/>
  <c r="AB133" i="1"/>
  <c r="V133" i="1"/>
  <c r="V137" i="1" s="1"/>
  <c r="S133" i="1"/>
  <c r="S137" i="1" s="1"/>
  <c r="M133" i="1"/>
  <c r="N133" i="1" s="1"/>
  <c r="F133" i="1"/>
  <c r="N132" i="1"/>
  <c r="M132" i="1"/>
  <c r="AA131" i="1"/>
  <c r="Z131" i="1"/>
  <c r="Y131" i="1"/>
  <c r="X131" i="1"/>
  <c r="U131" i="1"/>
  <c r="T131" i="1"/>
  <c r="R131" i="1"/>
  <c r="Q131" i="1"/>
  <c r="P131" i="1"/>
  <c r="O131" i="1"/>
  <c r="L131" i="1"/>
  <c r="K131" i="1"/>
  <c r="J131" i="1"/>
  <c r="I131" i="1"/>
  <c r="H131" i="1"/>
  <c r="G131" i="1"/>
  <c r="AC130" i="1"/>
  <c r="AD130" i="1" s="1"/>
  <c r="AB130" i="1"/>
  <c r="V130" i="1"/>
  <c r="S130" i="1"/>
  <c r="M130" i="1"/>
  <c r="N130" i="1" s="1"/>
  <c r="F130" i="1"/>
  <c r="AD129" i="1"/>
  <c r="AB129" i="1"/>
  <c r="V129" i="1"/>
  <c r="S129" i="1"/>
  <c r="M129" i="1"/>
  <c r="F129" i="1"/>
  <c r="N129" i="1" s="1"/>
  <c r="AD128" i="1"/>
  <c r="AC128" i="1"/>
  <c r="AB128" i="1"/>
  <c r="V128" i="1"/>
  <c r="S128" i="1"/>
  <c r="M128" i="1"/>
  <c r="F128" i="1"/>
  <c r="N128" i="1" s="1"/>
  <c r="AD127" i="1"/>
  <c r="AC127" i="1"/>
  <c r="AB127" i="1"/>
  <c r="V127" i="1"/>
  <c r="V131" i="1" s="1"/>
  <c r="S127" i="1"/>
  <c r="S131" i="1" s="1"/>
  <c r="M127" i="1"/>
  <c r="M131" i="1" s="1"/>
  <c r="F127" i="1"/>
  <c r="N127" i="1" s="1"/>
  <c r="AA126" i="1"/>
  <c r="Z126" i="1"/>
  <c r="Y126" i="1"/>
  <c r="AC126" i="1" s="1"/>
  <c r="X126" i="1"/>
  <c r="U126" i="1"/>
  <c r="T126" i="1"/>
  <c r="R126" i="1"/>
  <c r="Q126" i="1"/>
  <c r="P126" i="1"/>
  <c r="O126" i="1"/>
  <c r="M126" i="1"/>
  <c r="L126" i="1"/>
  <c r="K126" i="1"/>
  <c r="J126" i="1"/>
  <c r="I126" i="1"/>
  <c r="H126" i="1"/>
  <c r="G126" i="1"/>
  <c r="AD125" i="1"/>
  <c r="AC125" i="1"/>
  <c r="AB125" i="1"/>
  <c r="V125" i="1"/>
  <c r="S125" i="1"/>
  <c r="M125" i="1"/>
  <c r="N125" i="1" s="1"/>
  <c r="F125" i="1"/>
  <c r="AD124" i="1"/>
  <c r="AC124" i="1"/>
  <c r="AB124" i="1"/>
  <c r="V124" i="1"/>
  <c r="S124" i="1"/>
  <c r="M124" i="1"/>
  <c r="N124" i="1" s="1"/>
  <c r="F124" i="1"/>
  <c r="AD123" i="1"/>
  <c r="AC123" i="1"/>
  <c r="AB123" i="1"/>
  <c r="V123" i="1"/>
  <c r="V126" i="1" s="1"/>
  <c r="S123" i="1"/>
  <c r="S126" i="1" s="1"/>
  <c r="M123" i="1"/>
  <c r="N123" i="1" s="1"/>
  <c r="F123" i="1"/>
  <c r="AC122" i="1"/>
  <c r="AA122" i="1"/>
  <c r="Z122" i="1"/>
  <c r="Y122" i="1"/>
  <c r="X122" i="1"/>
  <c r="U122" i="1"/>
  <c r="T122" i="1"/>
  <c r="R122" i="1"/>
  <c r="Q122" i="1"/>
  <c r="P122" i="1"/>
  <c r="O122" i="1"/>
  <c r="L122" i="1"/>
  <c r="J122" i="1"/>
  <c r="I122" i="1"/>
  <c r="H122" i="1"/>
  <c r="G122" i="1"/>
  <c r="AD121" i="1"/>
  <c r="AC121" i="1"/>
  <c r="AB121" i="1"/>
  <c r="V121" i="1"/>
  <c r="S121" i="1"/>
  <c r="N121" i="1"/>
  <c r="M121" i="1"/>
  <c r="F121" i="1"/>
  <c r="AD120" i="1"/>
  <c r="AC120" i="1"/>
  <c r="AB120" i="1"/>
  <c r="V120" i="1"/>
  <c r="S120" i="1"/>
  <c r="N120" i="1"/>
  <c r="M120" i="1"/>
  <c r="F120" i="1"/>
  <c r="AD119" i="1"/>
  <c r="AC119" i="1"/>
  <c r="AB119" i="1"/>
  <c r="V119" i="1"/>
  <c r="S119" i="1"/>
  <c r="N119" i="1"/>
  <c r="M119" i="1"/>
  <c r="F119" i="1"/>
  <c r="AD118" i="1"/>
  <c r="AC118" i="1"/>
  <c r="AB118" i="1"/>
  <c r="V118" i="1"/>
  <c r="V122" i="1" s="1"/>
  <c r="S118" i="1"/>
  <c r="S122" i="1" s="1"/>
  <c r="N118" i="1"/>
  <c r="M118" i="1"/>
  <c r="M122" i="1" s="1"/>
  <c r="F118" i="1"/>
  <c r="AC117" i="1"/>
  <c r="AA117" i="1"/>
  <c r="Z117" i="1"/>
  <c r="Y117" i="1"/>
  <c r="X117" i="1"/>
  <c r="U117" i="1"/>
  <c r="T117" i="1"/>
  <c r="Q117" i="1"/>
  <c r="P117" i="1"/>
  <c r="O117" i="1"/>
  <c r="L117" i="1"/>
  <c r="K117" i="1"/>
  <c r="J117" i="1"/>
  <c r="I117" i="1"/>
  <c r="H117" i="1"/>
  <c r="G117" i="1"/>
  <c r="AC116" i="1"/>
  <c r="AD116" i="1" s="1"/>
  <c r="AB116" i="1"/>
  <c r="V116" i="1"/>
  <c r="S116" i="1"/>
  <c r="M116" i="1"/>
  <c r="N116" i="1" s="1"/>
  <c r="F116" i="1"/>
  <c r="AC115" i="1"/>
  <c r="AD115" i="1" s="1"/>
  <c r="AB115" i="1"/>
  <c r="V115" i="1"/>
  <c r="S115" i="1"/>
  <c r="M115" i="1"/>
  <c r="N115" i="1" s="1"/>
  <c r="F115" i="1"/>
  <c r="AC114" i="1"/>
  <c r="AD114" i="1" s="1"/>
  <c r="AB114" i="1"/>
  <c r="V114" i="1"/>
  <c r="S114" i="1"/>
  <c r="M114" i="1"/>
  <c r="N114" i="1" s="1"/>
  <c r="F114" i="1"/>
  <c r="AC113" i="1"/>
  <c r="AD113" i="1" s="1"/>
  <c r="AB113" i="1"/>
  <c r="V113" i="1"/>
  <c r="S113" i="1"/>
  <c r="M113" i="1"/>
  <c r="N113" i="1" s="1"/>
  <c r="F113" i="1"/>
  <c r="AC112" i="1"/>
  <c r="AD112" i="1" s="1"/>
  <c r="V112" i="1"/>
  <c r="V117" i="1" s="1"/>
  <c r="AC111" i="1"/>
  <c r="AA111" i="1"/>
  <c r="Z111" i="1"/>
  <c r="Y111" i="1"/>
  <c r="X111" i="1"/>
  <c r="U111" i="1"/>
  <c r="R111" i="1"/>
  <c r="Q111" i="1"/>
  <c r="P111" i="1"/>
  <c r="O111" i="1"/>
  <c r="L111" i="1"/>
  <c r="K111" i="1"/>
  <c r="J111" i="1"/>
  <c r="I111" i="1"/>
  <c r="H111" i="1"/>
  <c r="G111" i="1"/>
  <c r="AD110" i="1"/>
  <c r="AC110" i="1"/>
  <c r="AB110" i="1"/>
  <c r="V110" i="1"/>
  <c r="S110" i="1"/>
  <c r="N110" i="1"/>
  <c r="M110" i="1"/>
  <c r="F110" i="1"/>
  <c r="AD109" i="1"/>
  <c r="AC109" i="1"/>
  <c r="AB109" i="1"/>
  <c r="V109" i="1"/>
  <c r="S109" i="1"/>
  <c r="N109" i="1"/>
  <c r="M109" i="1"/>
  <c r="F109" i="1"/>
  <c r="AD108" i="1"/>
  <c r="AC108" i="1"/>
  <c r="AB108" i="1"/>
  <c r="V108" i="1"/>
  <c r="S108" i="1"/>
  <c r="S111" i="1" s="1"/>
  <c r="M108" i="1"/>
  <c r="F108" i="1"/>
  <c r="AC107" i="1"/>
  <c r="AD107" i="1" s="1"/>
  <c r="AB107" i="1"/>
  <c r="V107" i="1"/>
  <c r="S107" i="1"/>
  <c r="N107" i="1"/>
  <c r="M107" i="1"/>
  <c r="F107" i="1"/>
  <c r="AC106" i="1"/>
  <c r="AD106" i="1" s="1"/>
  <c r="AB106" i="1"/>
  <c r="V106" i="1"/>
  <c r="V111" i="1" s="1"/>
  <c r="M106" i="1"/>
  <c r="M111" i="1" s="1"/>
  <c r="F106" i="1"/>
  <c r="AC105" i="1"/>
  <c r="AA105" i="1"/>
  <c r="Z105" i="1"/>
  <c r="Y105" i="1"/>
  <c r="X105" i="1"/>
  <c r="U105" i="1"/>
  <c r="T105" i="1"/>
  <c r="Q105" i="1"/>
  <c r="P105" i="1"/>
  <c r="O105" i="1"/>
  <c r="L105" i="1"/>
  <c r="K105" i="1"/>
  <c r="J105" i="1"/>
  <c r="I105" i="1"/>
  <c r="H105" i="1"/>
  <c r="G105" i="1"/>
  <c r="AC104" i="1"/>
  <c r="AD104" i="1" s="1"/>
  <c r="AB104" i="1"/>
  <c r="V104" i="1"/>
  <c r="S104" i="1"/>
  <c r="R104" i="1"/>
  <c r="N104" i="1"/>
  <c r="M104" i="1"/>
  <c r="F104" i="1"/>
  <c r="AC103" i="1"/>
  <c r="AD103" i="1" s="1"/>
  <c r="AB103" i="1"/>
  <c r="V103" i="1"/>
  <c r="R103" i="1"/>
  <c r="R105" i="1" s="1"/>
  <c r="N103" i="1"/>
  <c r="M103" i="1"/>
  <c r="F103" i="1"/>
  <c r="AD102" i="1"/>
  <c r="AC102" i="1"/>
  <c r="AB102" i="1"/>
  <c r="V102" i="1"/>
  <c r="S102" i="1"/>
  <c r="R102" i="1"/>
  <c r="M102" i="1"/>
  <c r="N102" i="1" s="1"/>
  <c r="F102" i="1"/>
  <c r="AD101" i="1"/>
  <c r="AC101" i="1"/>
  <c r="AB101" i="1"/>
  <c r="V101" i="1"/>
  <c r="S101" i="1"/>
  <c r="R101" i="1"/>
  <c r="M101" i="1"/>
  <c r="N101" i="1" s="1"/>
  <c r="F101" i="1"/>
  <c r="AD100" i="1"/>
  <c r="AC100" i="1"/>
  <c r="AB100" i="1"/>
  <c r="V100" i="1"/>
  <c r="V105" i="1" s="1"/>
  <c r="R100" i="1"/>
  <c r="S100" i="1" s="1"/>
  <c r="N100" i="1"/>
  <c r="M100" i="1"/>
  <c r="M105" i="1" s="1"/>
  <c r="F100" i="1"/>
  <c r="AA98" i="1"/>
  <c r="AC98" i="1" s="1"/>
  <c r="Z98" i="1"/>
  <c r="Y98" i="1"/>
  <c r="X98" i="1"/>
  <c r="U98" i="1"/>
  <c r="T98" i="1"/>
  <c r="R98" i="1"/>
  <c r="Q98" i="1"/>
  <c r="P98" i="1"/>
  <c r="O98" i="1"/>
  <c r="M98" i="1"/>
  <c r="L98" i="1"/>
  <c r="K98" i="1"/>
  <c r="J98" i="1"/>
  <c r="I98" i="1"/>
  <c r="H98" i="1"/>
  <c r="G98" i="1"/>
  <c r="AC97" i="1"/>
  <c r="AD97" i="1" s="1"/>
  <c r="AB97" i="1"/>
  <c r="V97" i="1"/>
  <c r="S97" i="1"/>
  <c r="N97" i="1"/>
  <c r="M97" i="1"/>
  <c r="F97" i="1"/>
  <c r="AC96" i="1"/>
  <c r="AD96" i="1" s="1"/>
  <c r="AB96" i="1"/>
  <c r="M96" i="1"/>
  <c r="F96" i="1"/>
  <c r="N96" i="1" s="1"/>
  <c r="AD95" i="1"/>
  <c r="AC95" i="1"/>
  <c r="AB95" i="1"/>
  <c r="V95" i="1"/>
  <c r="S95" i="1"/>
  <c r="M95" i="1"/>
  <c r="F95" i="1"/>
  <c r="N95" i="1" s="1"/>
  <c r="AD94" i="1"/>
  <c r="AC94" i="1"/>
  <c r="AB94" i="1"/>
  <c r="V94" i="1"/>
  <c r="S94" i="1"/>
  <c r="M94" i="1"/>
  <c r="F94" i="1"/>
  <c r="N94" i="1" s="1"/>
  <c r="AD93" i="1"/>
  <c r="AC93" i="1"/>
  <c r="AB93" i="1"/>
  <c r="V93" i="1"/>
  <c r="S93" i="1"/>
  <c r="M93" i="1"/>
  <c r="F93" i="1"/>
  <c r="N93" i="1" s="1"/>
  <c r="AD92" i="1"/>
  <c r="AC92" i="1"/>
  <c r="AB92" i="1"/>
  <c r="V92" i="1"/>
  <c r="V98" i="1" s="1"/>
  <c r="S92" i="1"/>
  <c r="S98" i="1" s="1"/>
  <c r="M92" i="1"/>
  <c r="F92" i="1"/>
  <c r="N92" i="1" s="1"/>
  <c r="AA91" i="1"/>
  <c r="Z91" i="1"/>
  <c r="Y91" i="1"/>
  <c r="AC91" i="1" s="1"/>
  <c r="X91" i="1"/>
  <c r="U91" i="1"/>
  <c r="T91" i="1"/>
  <c r="R91" i="1"/>
  <c r="Q91" i="1"/>
  <c r="P91" i="1"/>
  <c r="O91" i="1"/>
  <c r="M91" i="1"/>
  <c r="L91" i="1"/>
  <c r="K91" i="1"/>
  <c r="J91" i="1"/>
  <c r="I91" i="1"/>
  <c r="H91" i="1"/>
  <c r="G91" i="1"/>
  <c r="AD90" i="1"/>
  <c r="AC90" i="1"/>
  <c r="AB90" i="1"/>
  <c r="V90" i="1"/>
  <c r="S90" i="1"/>
  <c r="M90" i="1"/>
  <c r="N90" i="1" s="1"/>
  <c r="F90" i="1"/>
  <c r="AD89" i="1"/>
  <c r="AC89" i="1"/>
  <c r="AB89" i="1"/>
  <c r="V89" i="1"/>
  <c r="S89" i="1"/>
  <c r="M89" i="1"/>
  <c r="N89" i="1" s="1"/>
  <c r="F89" i="1"/>
  <c r="AD88" i="1"/>
  <c r="AC88" i="1"/>
  <c r="AB88" i="1"/>
  <c r="V88" i="1"/>
  <c r="S88" i="1"/>
  <c r="M88" i="1"/>
  <c r="N88" i="1" s="1"/>
  <c r="F88" i="1"/>
  <c r="AD87" i="1"/>
  <c r="AC87" i="1"/>
  <c r="AB87" i="1"/>
  <c r="V87" i="1"/>
  <c r="S87" i="1"/>
  <c r="M87" i="1"/>
  <c r="N87" i="1" s="1"/>
  <c r="F87" i="1"/>
  <c r="AD86" i="1"/>
  <c r="AC86" i="1"/>
  <c r="AB86" i="1"/>
  <c r="V86" i="1"/>
  <c r="V91" i="1" s="1"/>
  <c r="S86" i="1"/>
  <c r="S91" i="1" s="1"/>
  <c r="M86" i="1"/>
  <c r="N86" i="1" s="1"/>
  <c r="F86" i="1"/>
  <c r="Z85" i="1"/>
  <c r="Y85" i="1"/>
  <c r="X85" i="1"/>
  <c r="U85" i="1"/>
  <c r="T85" i="1"/>
  <c r="Q85" i="1"/>
  <c r="P85" i="1"/>
  <c r="O85" i="1"/>
  <c r="K85" i="1"/>
  <c r="J85" i="1"/>
  <c r="I85" i="1"/>
  <c r="H85" i="1"/>
  <c r="G85" i="1"/>
  <c r="AA84" i="1"/>
  <c r="AC84" i="1" s="1"/>
  <c r="AD84" i="1" s="1"/>
  <c r="V84" i="1"/>
  <c r="S84" i="1"/>
  <c r="R84" i="1"/>
  <c r="N84" i="1"/>
  <c r="M84" i="1"/>
  <c r="L84" i="1"/>
  <c r="F84" i="1"/>
  <c r="AD83" i="1"/>
  <c r="AC83" i="1"/>
  <c r="AB83" i="1"/>
  <c r="AA83" i="1"/>
  <c r="V83" i="1"/>
  <c r="S83" i="1"/>
  <c r="R83" i="1"/>
  <c r="M83" i="1"/>
  <c r="N83" i="1" s="1"/>
  <c r="L83" i="1"/>
  <c r="F83" i="1"/>
  <c r="AC82" i="1"/>
  <c r="AD82" i="1" s="1"/>
  <c r="AB82" i="1"/>
  <c r="AA82" i="1"/>
  <c r="R82" i="1"/>
  <c r="S82" i="1" s="1"/>
  <c r="N82" i="1"/>
  <c r="M82" i="1"/>
  <c r="L82" i="1"/>
  <c r="F82" i="1"/>
  <c r="AA81" i="1"/>
  <c r="AC81" i="1" s="1"/>
  <c r="AD81" i="1" s="1"/>
  <c r="V81" i="1"/>
  <c r="S81" i="1"/>
  <c r="R81" i="1"/>
  <c r="N81" i="1"/>
  <c r="M81" i="1"/>
  <c r="L81" i="1"/>
  <c r="F81" i="1"/>
  <c r="AD80" i="1"/>
  <c r="AC80" i="1"/>
  <c r="AB80" i="1"/>
  <c r="AA80" i="1"/>
  <c r="S80" i="1"/>
  <c r="R80" i="1"/>
  <c r="L80" i="1"/>
  <c r="M80" i="1" s="1"/>
  <c r="N80" i="1" s="1"/>
  <c r="F80" i="1"/>
  <c r="AA79" i="1"/>
  <c r="AC79" i="1" s="1"/>
  <c r="V79" i="1"/>
  <c r="R79" i="1"/>
  <c r="S79" i="1" s="1"/>
  <c r="N79" i="1"/>
  <c r="M79" i="1"/>
  <c r="L79" i="1"/>
  <c r="F79" i="1"/>
  <c r="AD78" i="1"/>
  <c r="AC78" i="1"/>
  <c r="AA78" i="1"/>
  <c r="AB78" i="1" s="1"/>
  <c r="S78" i="1"/>
  <c r="R78" i="1"/>
  <c r="L78" i="1"/>
  <c r="M78" i="1" s="1"/>
  <c r="N78" i="1" s="1"/>
  <c r="F78" i="1"/>
  <c r="AB77" i="1"/>
  <c r="AA77" i="1"/>
  <c r="AC77" i="1" s="1"/>
  <c r="AD77" i="1" s="1"/>
  <c r="V77" i="1"/>
  <c r="R77" i="1"/>
  <c r="S77" i="1" s="1"/>
  <c r="L77" i="1"/>
  <c r="M77" i="1" s="1"/>
  <c r="N77" i="1" s="1"/>
  <c r="F77" i="1"/>
  <c r="AA76" i="1"/>
  <c r="AC76" i="1" s="1"/>
  <c r="AD76" i="1" s="1"/>
  <c r="Y76" i="1"/>
  <c r="V76" i="1"/>
  <c r="R76" i="1"/>
  <c r="R85" i="1" s="1"/>
  <c r="N76" i="1"/>
  <c r="M76" i="1"/>
  <c r="L76" i="1"/>
  <c r="F76" i="1"/>
  <c r="AA75" i="1"/>
  <c r="AA85" i="1" s="1"/>
  <c r="AC85" i="1" s="1"/>
  <c r="V75" i="1"/>
  <c r="S75" i="1"/>
  <c r="R75" i="1"/>
  <c r="N75" i="1"/>
  <c r="M75" i="1"/>
  <c r="L75" i="1"/>
  <c r="F75" i="1"/>
  <c r="AD74" i="1"/>
  <c r="AC74" i="1"/>
  <c r="AB74" i="1"/>
  <c r="AA74" i="1"/>
  <c r="V74" i="1"/>
  <c r="V85" i="1" s="1"/>
  <c r="S74" i="1"/>
  <c r="R74" i="1"/>
  <c r="M74" i="1"/>
  <c r="L74" i="1"/>
  <c r="L85" i="1" s="1"/>
  <c r="F74" i="1"/>
  <c r="AA73" i="1"/>
  <c r="AC73" i="1" s="1"/>
  <c r="Z73" i="1"/>
  <c r="Y73" i="1"/>
  <c r="X73" i="1"/>
  <c r="V73" i="1"/>
  <c r="U73" i="1"/>
  <c r="T73" i="1"/>
  <c r="R73" i="1"/>
  <c r="Q73" i="1"/>
  <c r="P73" i="1"/>
  <c r="O73" i="1"/>
  <c r="M73" i="1"/>
  <c r="L73" i="1"/>
  <c r="J73" i="1"/>
  <c r="I73" i="1"/>
  <c r="H73" i="1"/>
  <c r="G73" i="1"/>
  <c r="AC72" i="1"/>
  <c r="AD72" i="1" s="1"/>
  <c r="AB72" i="1"/>
  <c r="V72" i="1"/>
  <c r="S72" i="1"/>
  <c r="M72" i="1"/>
  <c r="N72" i="1" s="1"/>
  <c r="F72" i="1"/>
  <c r="AC71" i="1"/>
  <c r="AD71" i="1" s="1"/>
  <c r="AB71" i="1"/>
  <c r="V71" i="1"/>
  <c r="S71" i="1"/>
  <c r="M71" i="1"/>
  <c r="N71" i="1" s="1"/>
  <c r="F71" i="1"/>
  <c r="AC70" i="1"/>
  <c r="AD70" i="1" s="1"/>
  <c r="AB70" i="1"/>
  <c r="V70" i="1"/>
  <c r="S70" i="1"/>
  <c r="M70" i="1"/>
  <c r="N70" i="1" s="1"/>
  <c r="F70" i="1"/>
  <c r="AC69" i="1"/>
  <c r="AD69" i="1" s="1"/>
  <c r="AB69" i="1"/>
  <c r="V69" i="1"/>
  <c r="S69" i="1"/>
  <c r="M69" i="1"/>
  <c r="N69" i="1" s="1"/>
  <c r="F69" i="1"/>
  <c r="AC68" i="1"/>
  <c r="AD68" i="1" s="1"/>
  <c r="AB68" i="1"/>
  <c r="V68" i="1"/>
  <c r="S68" i="1"/>
  <c r="S73" i="1" s="1"/>
  <c r="M68" i="1"/>
  <c r="N68" i="1" s="1"/>
  <c r="F68" i="1"/>
  <c r="AA67" i="1"/>
  <c r="Z67" i="1"/>
  <c r="Y67" i="1"/>
  <c r="AC67" i="1" s="1"/>
  <c r="X67" i="1"/>
  <c r="U67" i="1"/>
  <c r="T67" i="1"/>
  <c r="R67" i="1"/>
  <c r="Q67" i="1"/>
  <c r="P67" i="1"/>
  <c r="O67" i="1"/>
  <c r="L67" i="1"/>
  <c r="J67" i="1"/>
  <c r="I67" i="1"/>
  <c r="H67" i="1"/>
  <c r="G67" i="1"/>
  <c r="AD66" i="1"/>
  <c r="AC66" i="1"/>
  <c r="AB66" i="1"/>
  <c r="V66" i="1"/>
  <c r="S66" i="1"/>
  <c r="M66" i="1"/>
  <c r="N66" i="1" s="1"/>
  <c r="F66" i="1"/>
  <c r="AC65" i="1"/>
  <c r="AB65" i="1"/>
  <c r="V65" i="1"/>
  <c r="S65" i="1"/>
  <c r="N65" i="1"/>
  <c r="M65" i="1"/>
  <c r="F65" i="1"/>
  <c r="AD64" i="1"/>
  <c r="AC64" i="1"/>
  <c r="AB64" i="1"/>
  <c r="V64" i="1"/>
  <c r="S64" i="1"/>
  <c r="N64" i="1"/>
  <c r="M64" i="1"/>
  <c r="F64" i="1"/>
  <c r="AC63" i="1"/>
  <c r="AD63" i="1" s="1"/>
  <c r="AB63" i="1"/>
  <c r="S63" i="1"/>
  <c r="N63" i="1"/>
  <c r="F63" i="1"/>
  <c r="AC62" i="1"/>
  <c r="AB62" i="1"/>
  <c r="V62" i="1"/>
  <c r="S62" i="1"/>
  <c r="S67" i="1" s="1"/>
  <c r="M62" i="1"/>
  <c r="F62" i="1"/>
  <c r="N62" i="1" s="1"/>
  <c r="AD61" i="1"/>
  <c r="AC61" i="1"/>
  <c r="AB61" i="1"/>
  <c r="V61" i="1"/>
  <c r="V67" i="1" s="1"/>
  <c r="N61" i="1"/>
  <c r="M61" i="1"/>
  <c r="M67" i="1" s="1"/>
  <c r="F61" i="1"/>
  <c r="AC60" i="1"/>
  <c r="AA60" i="1"/>
  <c r="Z60" i="1"/>
  <c r="Y60" i="1"/>
  <c r="X60" i="1"/>
  <c r="V60" i="1"/>
  <c r="U60" i="1"/>
  <c r="T60" i="1"/>
  <c r="R60" i="1"/>
  <c r="Q60" i="1"/>
  <c r="P60" i="1"/>
  <c r="O60" i="1"/>
  <c r="M60" i="1"/>
  <c r="L60" i="1"/>
  <c r="K60" i="1"/>
  <c r="J60" i="1"/>
  <c r="I60" i="1"/>
  <c r="H60" i="1"/>
  <c r="G60" i="1"/>
  <c r="AC59" i="1"/>
  <c r="AD59" i="1" s="1"/>
  <c r="AB59" i="1"/>
  <c r="V59" i="1"/>
  <c r="S59" i="1"/>
  <c r="N59" i="1"/>
  <c r="M59" i="1"/>
  <c r="F59" i="1"/>
  <c r="AC58" i="1"/>
  <c r="AD58" i="1" s="1"/>
  <c r="AB58" i="1"/>
  <c r="V58" i="1"/>
  <c r="S58" i="1"/>
  <c r="N58" i="1"/>
  <c r="M58" i="1"/>
  <c r="F58" i="1"/>
  <c r="AC57" i="1"/>
  <c r="AD57" i="1" s="1"/>
  <c r="AB57" i="1"/>
  <c r="V57" i="1"/>
  <c r="S57" i="1"/>
  <c r="N57" i="1"/>
  <c r="M57" i="1"/>
  <c r="F57" i="1"/>
  <c r="AC56" i="1"/>
  <c r="AD56" i="1" s="1"/>
  <c r="AB56" i="1"/>
  <c r="V56" i="1"/>
  <c r="S56" i="1"/>
  <c r="N56" i="1"/>
  <c r="M56" i="1"/>
  <c r="F56" i="1"/>
  <c r="AC55" i="1"/>
  <c r="AD55" i="1" s="1"/>
  <c r="AB55" i="1"/>
  <c r="V55" i="1"/>
  <c r="S55" i="1"/>
  <c r="N55" i="1"/>
  <c r="M55" i="1"/>
  <c r="F55" i="1"/>
  <c r="AC54" i="1"/>
  <c r="AD54" i="1" s="1"/>
  <c r="AB54" i="1"/>
  <c r="V54" i="1"/>
  <c r="S54" i="1"/>
  <c r="S60" i="1" s="1"/>
  <c r="N54" i="1"/>
  <c r="M54" i="1"/>
  <c r="F54" i="1"/>
  <c r="Y53" i="1"/>
  <c r="AC53" i="1" s="1"/>
  <c r="X53" i="1"/>
  <c r="V53" i="1"/>
  <c r="U53" i="1"/>
  <c r="T53" i="1"/>
  <c r="R53" i="1"/>
  <c r="Q53" i="1"/>
  <c r="P53" i="1"/>
  <c r="O53" i="1"/>
  <c r="L53" i="1"/>
  <c r="K53" i="1"/>
  <c r="J53" i="1"/>
  <c r="I53" i="1"/>
  <c r="H53" i="1"/>
  <c r="G53" i="1"/>
  <c r="AD52" i="1"/>
  <c r="AC52" i="1"/>
  <c r="AB52" i="1"/>
  <c r="V52" i="1"/>
  <c r="S52" i="1"/>
  <c r="M52" i="1"/>
  <c r="N52" i="1" s="1"/>
  <c r="F52" i="1"/>
  <c r="AD51" i="1"/>
  <c r="AC51" i="1"/>
  <c r="AB51" i="1"/>
  <c r="V51" i="1"/>
  <c r="S51" i="1"/>
  <c r="M51" i="1"/>
  <c r="N51" i="1" s="1"/>
  <c r="F51" i="1"/>
  <c r="AD50" i="1"/>
  <c r="AC50" i="1"/>
  <c r="AB50" i="1"/>
  <c r="V50" i="1"/>
  <c r="S50" i="1"/>
  <c r="S53" i="1" s="1"/>
  <c r="M50" i="1"/>
  <c r="M53" i="1" s="1"/>
  <c r="F50" i="1"/>
  <c r="AD49" i="1"/>
  <c r="AC49" i="1"/>
  <c r="AB49" i="1"/>
  <c r="V49" i="1"/>
  <c r="M49" i="1"/>
  <c r="N49" i="1" s="1"/>
  <c r="F49" i="1"/>
  <c r="AC48" i="1"/>
  <c r="AA48" i="1"/>
  <c r="Z48" i="1"/>
  <c r="Y48" i="1"/>
  <c r="X48" i="1"/>
  <c r="U48" i="1"/>
  <c r="T48" i="1"/>
  <c r="R48" i="1"/>
  <c r="Q48" i="1"/>
  <c r="P48" i="1"/>
  <c r="O48" i="1"/>
  <c r="L48" i="1"/>
  <c r="K48" i="1"/>
  <c r="J48" i="1"/>
  <c r="I48" i="1"/>
  <c r="H48" i="1"/>
  <c r="G48" i="1"/>
  <c r="AD47" i="1"/>
  <c r="AC47" i="1"/>
  <c r="AB47" i="1"/>
  <c r="V47" i="1"/>
  <c r="S47" i="1"/>
  <c r="M47" i="1"/>
  <c r="N47" i="1" s="1"/>
  <c r="F47" i="1"/>
  <c r="AD46" i="1"/>
  <c r="AC46" i="1"/>
  <c r="AB46" i="1"/>
  <c r="V46" i="1"/>
  <c r="S46" i="1"/>
  <c r="M46" i="1"/>
  <c r="N46" i="1" s="1"/>
  <c r="F46" i="1"/>
  <c r="AD45" i="1"/>
  <c r="AC45" i="1"/>
  <c r="AB45" i="1"/>
  <c r="V45" i="1"/>
  <c r="S45" i="1"/>
  <c r="M45" i="1"/>
  <c r="N45" i="1" s="1"/>
  <c r="F45" i="1"/>
  <c r="AD44" i="1"/>
  <c r="AC44" i="1"/>
  <c r="AB44" i="1"/>
  <c r="V44" i="1"/>
  <c r="S44" i="1"/>
  <c r="M44" i="1"/>
  <c r="N44" i="1" s="1"/>
  <c r="F44" i="1"/>
  <c r="AD43" i="1"/>
  <c r="AC43" i="1"/>
  <c r="AB43" i="1"/>
  <c r="V43" i="1"/>
  <c r="S43" i="1"/>
  <c r="S48" i="1" s="1"/>
  <c r="M43" i="1"/>
  <c r="N43" i="1" s="1"/>
  <c r="F43" i="1"/>
  <c r="AD42" i="1"/>
  <c r="AC42" i="1"/>
  <c r="AB42" i="1"/>
  <c r="AB48" i="1" s="1"/>
  <c r="V42" i="1"/>
  <c r="V48" i="1" s="1"/>
  <c r="M42" i="1"/>
  <c r="M48" i="1" s="1"/>
  <c r="F42" i="1"/>
  <c r="N42" i="1" s="1"/>
  <c r="U41" i="1"/>
  <c r="T41" i="1"/>
  <c r="AC40" i="1"/>
  <c r="AD40" i="1" s="1"/>
  <c r="AB40" i="1"/>
  <c r="V40" i="1"/>
  <c r="M40" i="1"/>
  <c r="N40" i="1" s="1"/>
  <c r="L40" i="1"/>
  <c r="F40" i="1"/>
  <c r="AC39" i="1"/>
  <c r="AD39" i="1" s="1"/>
  <c r="AB39" i="1"/>
  <c r="V39" i="1"/>
  <c r="M39" i="1"/>
  <c r="N39" i="1" s="1"/>
  <c r="F39" i="1"/>
  <c r="AD38" i="1"/>
  <c r="AC38" i="1"/>
  <c r="AB38" i="1"/>
  <c r="V38" i="1"/>
  <c r="M38" i="1"/>
  <c r="F38" i="1"/>
  <c r="N38" i="1" s="1"/>
  <c r="AC37" i="1"/>
  <c r="AB37" i="1"/>
  <c r="V37" i="1"/>
  <c r="M37" i="1"/>
  <c r="N37" i="1" s="1"/>
  <c r="F37" i="1"/>
  <c r="AC36" i="1"/>
  <c r="AD36" i="1" s="1"/>
  <c r="AB36" i="1"/>
  <c r="V36" i="1"/>
  <c r="M36" i="1"/>
  <c r="N36" i="1" s="1"/>
  <c r="F36" i="1"/>
  <c r="AD35" i="1"/>
  <c r="AC35" i="1"/>
  <c r="AB35" i="1"/>
  <c r="V35" i="1"/>
  <c r="M35" i="1"/>
  <c r="F35" i="1"/>
  <c r="N35" i="1" s="1"/>
  <c r="AD34" i="1"/>
  <c r="AC34" i="1"/>
  <c r="AB34" i="1"/>
  <c r="V34" i="1"/>
  <c r="N34" i="1"/>
  <c r="M34" i="1"/>
  <c r="F34" i="1"/>
  <c r="AC33" i="1"/>
  <c r="AB33" i="1"/>
  <c r="V33" i="1"/>
  <c r="M33" i="1"/>
  <c r="N33" i="1" s="1"/>
  <c r="F33" i="1"/>
  <c r="AD32" i="1"/>
  <c r="AC32" i="1"/>
  <c r="AB32" i="1"/>
  <c r="V32" i="1"/>
  <c r="R32" i="1"/>
  <c r="M32" i="1"/>
  <c r="N32" i="1" s="1"/>
  <c r="F32" i="1"/>
  <c r="AD31" i="1"/>
  <c r="AC31" i="1"/>
  <c r="AB31" i="1"/>
  <c r="V31" i="1"/>
  <c r="M31" i="1"/>
  <c r="F31" i="1"/>
  <c r="N31" i="1" s="1"/>
  <c r="AD30" i="1"/>
  <c r="AC30" i="1"/>
  <c r="AB30" i="1"/>
  <c r="V30" i="1"/>
  <c r="N30" i="1"/>
  <c r="M30" i="1"/>
  <c r="F30" i="1"/>
  <c r="AD29" i="1"/>
  <c r="AC29" i="1"/>
  <c r="AB29" i="1"/>
  <c r="V29" i="1"/>
  <c r="M29" i="1"/>
  <c r="N29" i="1" s="1"/>
  <c r="F29" i="1"/>
  <c r="AC28" i="1"/>
  <c r="AD28" i="1" s="1"/>
  <c r="AB28" i="1"/>
  <c r="V28" i="1"/>
  <c r="M28" i="1"/>
  <c r="N28" i="1" s="1"/>
  <c r="F28" i="1"/>
  <c r="AD27" i="1"/>
  <c r="AC27" i="1"/>
  <c r="AB27" i="1"/>
  <c r="V27" i="1"/>
  <c r="M27" i="1"/>
  <c r="F27" i="1"/>
  <c r="N27" i="1" s="1"/>
  <c r="AD26" i="1"/>
  <c r="AC26" i="1"/>
  <c r="AB26" i="1"/>
  <c r="V26" i="1"/>
  <c r="N26" i="1"/>
  <c r="M26" i="1"/>
  <c r="F26" i="1"/>
  <c r="AC25" i="1"/>
  <c r="AD25" i="1" s="1"/>
  <c r="AB25" i="1"/>
  <c r="AA25" i="1"/>
  <c r="V25" i="1"/>
  <c r="R25" i="1"/>
  <c r="L25" i="1"/>
  <c r="M25" i="1" s="1"/>
  <c r="N25" i="1" s="1"/>
  <c r="F25" i="1"/>
  <c r="AD24" i="1"/>
  <c r="AC24" i="1"/>
  <c r="AB24" i="1"/>
  <c r="V24" i="1"/>
  <c r="M24" i="1"/>
  <c r="N24" i="1" s="1"/>
  <c r="F24" i="1"/>
  <c r="AD23" i="1"/>
  <c r="AC23" i="1"/>
  <c r="AB23" i="1"/>
  <c r="V23" i="1"/>
  <c r="N23" i="1"/>
  <c r="M23" i="1"/>
  <c r="F23" i="1"/>
  <c r="AC22" i="1"/>
  <c r="AD22" i="1" s="1"/>
  <c r="AB22" i="1"/>
  <c r="V22" i="1"/>
  <c r="N22" i="1"/>
  <c r="M22" i="1"/>
  <c r="F22" i="1"/>
  <c r="AC21" i="1"/>
  <c r="AD21" i="1" s="1"/>
  <c r="AB21" i="1"/>
  <c r="V21" i="1"/>
  <c r="M21" i="1"/>
  <c r="N21" i="1" s="1"/>
  <c r="F21" i="1"/>
  <c r="AD20" i="1"/>
  <c r="AC20" i="1"/>
  <c r="AB20" i="1"/>
  <c r="V20" i="1"/>
  <c r="M20" i="1"/>
  <c r="F20" i="1"/>
  <c r="N20" i="1" s="1"/>
  <c r="AD16" i="1"/>
  <c r="AC16" i="1"/>
  <c r="AB16" i="1"/>
  <c r="V16" i="1"/>
  <c r="N16" i="1"/>
  <c r="M16" i="1"/>
  <c r="F16" i="1"/>
  <c r="AD15" i="1"/>
  <c r="AC15" i="1"/>
  <c r="AB15" i="1"/>
  <c r="V15" i="1"/>
  <c r="M15" i="1"/>
  <c r="N15" i="1" s="1"/>
  <c r="F15" i="1"/>
  <c r="AC14" i="1"/>
  <c r="AD14" i="1" s="1"/>
  <c r="AB14" i="1"/>
  <c r="V14" i="1"/>
  <c r="M14" i="1"/>
  <c r="N14" i="1" s="1"/>
  <c r="F14" i="1"/>
  <c r="AD13" i="1"/>
  <c r="AC13" i="1"/>
  <c r="AB13" i="1"/>
  <c r="V13" i="1"/>
  <c r="M13" i="1"/>
  <c r="N13" i="1" s="1"/>
  <c r="F13" i="1"/>
  <c r="AD12" i="1"/>
  <c r="AC12" i="1"/>
  <c r="AB12" i="1"/>
  <c r="V12" i="1"/>
  <c r="N12" i="1"/>
  <c r="M12" i="1"/>
  <c r="F12" i="1"/>
  <c r="AC11" i="1"/>
  <c r="AD11" i="1" s="1"/>
  <c r="AB11" i="1"/>
  <c r="V11" i="1"/>
  <c r="N11" i="1"/>
  <c r="M11" i="1"/>
  <c r="F11" i="1"/>
  <c r="K149" i="1" l="1"/>
  <c r="M85" i="1"/>
  <c r="N50" i="1"/>
  <c r="N74" i="1"/>
  <c r="AB75" i="1"/>
  <c r="S76" i="1"/>
  <c r="S85" i="1" s="1"/>
  <c r="AB81" i="1"/>
  <c r="AB84" i="1"/>
  <c r="N106" i="1"/>
  <c r="M117" i="1"/>
  <c r="N143" i="1"/>
  <c r="J149" i="1" s="1"/>
  <c r="M149" i="1"/>
  <c r="N150" i="1"/>
  <c r="M165" i="1"/>
  <c r="N166" i="1"/>
  <c r="AC75" i="1"/>
  <c r="AD75" i="1" s="1"/>
  <c r="AB76" i="1"/>
  <c r="AB79" i="1"/>
  <c r="S103" i="1"/>
  <c r="S105" i="1" s="1"/>
  <c r="I149" i="1"/>
</calcChain>
</file>

<file path=xl/sharedStrings.xml><?xml version="1.0" encoding="utf-8"?>
<sst xmlns="http://schemas.openxmlformats.org/spreadsheetml/2006/main" count="221" uniqueCount="176">
  <si>
    <t>Мониторинг соблюдения органами местного самоуправления муниципальных образований Ивановской области нормативов формирования расходов на содержание органов местного самоуправления  за 3 квартал 2025 года</t>
  </si>
  <si>
    <t>Муниципальный район</t>
  </si>
  <si>
    <t>Муниципальные образования</t>
  </si>
  <si>
    <t>Численность населения по состоянию на 01.01.2024 г</t>
  </si>
  <si>
    <t>Норматив на содержание ОМС на 2025 год, установленные по пост. Прав-ва от 15.03.2011 № 65-п</t>
  </si>
  <si>
    <r>
      <t xml:space="preserve">Расходы на содержание органов местного самоуправления муниципальных образований Ивановской области исходя из норматива </t>
    </r>
    <r>
      <rPr>
        <b/>
        <sz val="12"/>
        <rFont val="Times New Roman"/>
        <family val="1"/>
        <charset val="204"/>
      </rPr>
      <t xml:space="preserve">на 2025 год </t>
    </r>
    <r>
      <rPr>
        <sz val="12"/>
        <rFont val="Times New Roman"/>
        <family val="1"/>
        <charset val="204"/>
      </rPr>
      <t>установленные по пост. Прав-ва Ив.обл от 15.03.2011 № 65-п</t>
    </r>
  </si>
  <si>
    <t xml:space="preserve"> Утвержденные расходы на содержание органов местного самоупарвления (без КДН) всего по состоянию на 30.06.2025</t>
  </si>
  <si>
    <t xml:space="preserve">В том числе </t>
  </si>
  <si>
    <t>Переданные полномочия</t>
  </si>
  <si>
    <t>ИТОГО Утвержденные расходы на содержание органов местного самоуправления в бюджетах муниципальных образований  по состоянию на 30.09.2025</t>
  </si>
  <si>
    <t>Отклонение</t>
  </si>
  <si>
    <t>Зарплата и начисления на оплату труда депутатов, выборных долж.лиц, мун.сл. ВСЕГО 211+213</t>
  </si>
  <si>
    <t>Переданные полномочия на оплату депутатов, выборных должностных лиц местного самоуправления, осуществл.свои полном на пост. Основе мун.сл 211+213</t>
  </si>
  <si>
    <t>Итого Фот без КДН и перед полномоч</t>
  </si>
  <si>
    <t>Расходвы на содержание ОМС по КДН,         тыс. руб.</t>
  </si>
  <si>
    <t>Расходы на содержание ОМС по адм. Комиссиям,         тыс. руб.</t>
  </si>
  <si>
    <t>КДН + адм комиссии</t>
  </si>
  <si>
    <r>
      <t xml:space="preserve">Предельная численность депутатов, выборных должностных лиц местного самоуправления, осуществляющих свои полномочия на постоянной основе, муниципальных служащих, используемая при расчете нормативов формирования расходов на содержание органов местного самоуправления, доведенных в соответствии с Методикой, утвержденной постановл. Правит-ва Ив. обл от 15.03.2011 № 65-п              </t>
    </r>
    <r>
      <rPr>
        <b/>
        <sz val="12"/>
        <rFont val="Times New Roman"/>
        <family val="1"/>
        <charset val="204"/>
      </rPr>
      <t>на 2025 год</t>
    </r>
  </si>
  <si>
    <t>Численность работников органов местного самоуправления</t>
  </si>
  <si>
    <t>Численность депутатов, выборных должностных лиц местного самоуправления осуществляющих свои полномочия на постоянной основе, муниципальных служащих</t>
  </si>
  <si>
    <t>Кроме того</t>
  </si>
  <si>
    <t>Утвержденная численность депутатов, выборных должностных лиц местного самоуправления осуществляющих свои полномочия на постоянной основе, муниципальных служащих по состоянию на 30.09.2025</t>
  </si>
  <si>
    <t>на зарплату ст.211</t>
  </si>
  <si>
    <t>начисления  ст. 213</t>
  </si>
  <si>
    <t>ст.211+ст.213</t>
  </si>
  <si>
    <t>211+213</t>
  </si>
  <si>
    <t>ВСЕГО расходов</t>
  </si>
  <si>
    <t>Численность работников органов местного самоуправления за счет переданных полномочий</t>
  </si>
  <si>
    <t>Численность депутатов,выборных должностных лиц местного самоупарвления за счет переданных полномочий</t>
  </si>
  <si>
    <t>Городские округа</t>
  </si>
  <si>
    <t>Вичуга</t>
  </si>
  <si>
    <t>Иваново</t>
  </si>
  <si>
    <t>Кинешма</t>
  </si>
  <si>
    <t>Кохма</t>
  </si>
  <si>
    <t xml:space="preserve">Тейково </t>
  </si>
  <si>
    <t>Шуя</t>
  </si>
  <si>
    <t>Муниципальные районы</t>
  </si>
  <si>
    <t>Фурмановский м.р.</t>
  </si>
  <si>
    <t>Верхнеландеховский м.р.</t>
  </si>
  <si>
    <t>Вичугский м.р.</t>
  </si>
  <si>
    <t>Гаврилово-Посадский м.р.</t>
  </si>
  <si>
    <t>Заволжский м.р.</t>
  </si>
  <si>
    <t>Ивановский м.р.</t>
  </si>
  <si>
    <t>Ильинский м.р.</t>
  </si>
  <si>
    <t>Кинешемский м.р.</t>
  </si>
  <si>
    <t>Комсомольский р-н</t>
  </si>
  <si>
    <t>Лежневский м.р.</t>
  </si>
  <si>
    <t>Лухский м.р.</t>
  </si>
  <si>
    <t>Палехский м.р.</t>
  </si>
  <si>
    <t>Пестяковский м.р.</t>
  </si>
  <si>
    <t>Приволжский м.р.</t>
  </si>
  <si>
    <t>Пучежский м.р.</t>
  </si>
  <si>
    <t>Родниковский м.р.</t>
  </si>
  <si>
    <t>Савинский м.р.</t>
  </si>
  <si>
    <t>Тейковский м.р.</t>
  </si>
  <si>
    <t>Шуйский м.р.</t>
  </si>
  <si>
    <t>Южский м.р.</t>
  </si>
  <si>
    <t>Юрьевецкий м.р.</t>
  </si>
  <si>
    <t>Городские и сельские поселения</t>
  </si>
  <si>
    <t>Фурмановское г/п</t>
  </si>
  <si>
    <t>Дуляпинское с/п</t>
  </si>
  <si>
    <t>Иванковское с/п</t>
  </si>
  <si>
    <t>Панинское с/п</t>
  </si>
  <si>
    <t>Хромцовское с/п</t>
  </si>
  <si>
    <t>Широковское с/п</t>
  </si>
  <si>
    <t>Итого по поселениям</t>
  </si>
  <si>
    <t>Верхнеландех г/п</t>
  </si>
  <si>
    <t>Кромское с/п</t>
  </si>
  <si>
    <t>Мытское с/п</t>
  </si>
  <si>
    <t>Симаковское с/п</t>
  </si>
  <si>
    <t>Каменское г/п</t>
  </si>
  <si>
    <t>Новописцовское г/п</t>
  </si>
  <si>
    <t>Старовичугское г/п</t>
  </si>
  <si>
    <t>Октябрьское с/п</t>
  </si>
  <si>
    <t>Сошниковское с/п</t>
  </si>
  <si>
    <t>Сунженское с/п</t>
  </si>
  <si>
    <t>Гав-Посадский р-н</t>
  </si>
  <si>
    <t>Г-Посадское г/п</t>
  </si>
  <si>
    <t>Петровское г/п</t>
  </si>
  <si>
    <t>Лобцовское с/п</t>
  </si>
  <si>
    <t>Новоселковское с/п</t>
  </si>
  <si>
    <t>Осановецкое с/п</t>
  </si>
  <si>
    <t>Шекшовское с/п</t>
  </si>
  <si>
    <t>Заволжское г/п</t>
  </si>
  <si>
    <t>Волжское с/п</t>
  </si>
  <si>
    <t>Дмитриевское с/п</t>
  </si>
  <si>
    <t>Междуреченское с/п</t>
  </si>
  <si>
    <t>Сосневское с/п</t>
  </si>
  <si>
    <t>Балахонковское с/п</t>
  </si>
  <si>
    <t>Беляницкое с/п</t>
  </si>
  <si>
    <t>Богданихское с/п</t>
  </si>
  <si>
    <t>Богородское с/п</t>
  </si>
  <si>
    <t>Коляновское с/п</t>
  </si>
  <si>
    <t>Куликовское с/п</t>
  </si>
  <si>
    <t>Новоталицкое с/п</t>
  </si>
  <si>
    <t>Озерновское с/п</t>
  </si>
  <si>
    <t>Подвязновское с/п</t>
  </si>
  <si>
    <t>Тимошихинсоке с/п</t>
  </si>
  <si>
    <t>Чернореченское с/п</t>
  </si>
  <si>
    <t>Ильинское г/п</t>
  </si>
  <si>
    <t>Аньковское с/п</t>
  </si>
  <si>
    <t>Ивашевское с/п</t>
  </si>
  <si>
    <t>Исаевское с/п</t>
  </si>
  <si>
    <t>Щенниковское с/п</t>
  </si>
  <si>
    <t>Батмановское с/п</t>
  </si>
  <si>
    <t>Горковское с/п</t>
  </si>
  <si>
    <t>Ласкарихинское с/п</t>
  </si>
  <si>
    <t>Луговское с/п</t>
  </si>
  <si>
    <t>Решемское с/п</t>
  </si>
  <si>
    <t>Шилекшинское с/п</t>
  </si>
  <si>
    <t>Комсомольский м.р.</t>
  </si>
  <si>
    <t>Комсомольское г/п</t>
  </si>
  <si>
    <t>Марковское с/п</t>
  </si>
  <si>
    <t>Новоусадебское с/п</t>
  </si>
  <si>
    <t>Писцовское с/п</t>
  </si>
  <si>
    <t>Подозерское с/п</t>
  </si>
  <si>
    <t>Лежневское г/п</t>
  </si>
  <si>
    <t>Лежневское с/п</t>
  </si>
  <si>
    <t>Новогоркинское с/п</t>
  </si>
  <si>
    <t>Сабиновское с/п</t>
  </si>
  <si>
    <t>Шилыковское с/п</t>
  </si>
  <si>
    <t>Лухское г/п</t>
  </si>
  <si>
    <t>Благовещенское с/п</t>
  </si>
  <si>
    <t>Порздневское с/п</t>
  </si>
  <si>
    <t>Рябовское с/п</t>
  </si>
  <si>
    <t>Тимирязевское с/п</t>
  </si>
  <si>
    <t>Палехское г/п</t>
  </si>
  <si>
    <t>Майдаковское с/п</t>
  </si>
  <si>
    <t>Пановское с/п</t>
  </si>
  <si>
    <t>Раменское с/п</t>
  </si>
  <si>
    <t>Пестяковское г/п</t>
  </si>
  <si>
    <t>Нижнеландеховское с/п</t>
  </si>
  <si>
    <t>Пестяковское с/п</t>
  </si>
  <si>
    <t>Приволжское г/п</t>
  </si>
  <si>
    <t>Ингарское с/п</t>
  </si>
  <si>
    <t>Новское с/п</t>
  </si>
  <si>
    <t>Рождественское с/п</t>
  </si>
  <si>
    <t>Пучежское г/п</t>
  </si>
  <si>
    <t>Затеихинское с/п</t>
  </si>
  <si>
    <t>Илья-Высокого с/п</t>
  </si>
  <si>
    <t>Мортковское с/п</t>
  </si>
  <si>
    <t>Сеготское с/п</t>
  </si>
  <si>
    <t>Родниковское г/п</t>
  </si>
  <si>
    <t>Каминское с/п</t>
  </si>
  <si>
    <t>Парское с/п</t>
  </si>
  <si>
    <t>Фелисовское с/п</t>
  </si>
  <si>
    <t xml:space="preserve">Савинское г/п </t>
  </si>
  <si>
    <t>Архиповское с/п</t>
  </si>
  <si>
    <t>Вознесенкское с/п</t>
  </si>
  <si>
    <t>Воскресенское с/п</t>
  </si>
  <si>
    <t>Горячевское с/п</t>
  </si>
  <si>
    <t>Савинское с/п</t>
  </si>
  <si>
    <t>Нерльское г/п</t>
  </si>
  <si>
    <t>Большеклочковское с/п</t>
  </si>
  <si>
    <t>Крапивновское с/п</t>
  </si>
  <si>
    <t>Морозовское с/п</t>
  </si>
  <si>
    <t>Новогоряновское с/п</t>
  </si>
  <si>
    <t>Новолеушинское с/п</t>
  </si>
  <si>
    <t>Колобовское г/п</t>
  </si>
  <si>
    <t>Афанасьевское с/п</t>
  </si>
  <si>
    <t>Васильевское с/п</t>
  </si>
  <si>
    <t>Введенское с/п</t>
  </si>
  <si>
    <t>Китовское с/п</t>
  </si>
  <si>
    <t>Остаповское с/п</t>
  </si>
  <si>
    <t>Перемиловское с/п</t>
  </si>
  <si>
    <t>Семейкинское с/п</t>
  </si>
  <si>
    <t>Южское г/п</t>
  </si>
  <si>
    <t>Мугреево-Никольское с/п</t>
  </si>
  <si>
    <t>Новоклязьменское с/п</t>
  </si>
  <si>
    <t>Талицко-Мугреевское с/п</t>
  </si>
  <si>
    <t>Холуйское с/п</t>
  </si>
  <si>
    <t>Хотимльское с/п</t>
  </si>
  <si>
    <t>Юрьевецкое г/п</t>
  </si>
  <si>
    <t>Елнатское с/п</t>
  </si>
  <si>
    <t>Михайловское с/п</t>
  </si>
  <si>
    <t>Соболевское с/п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</si>
</sst>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0.0"/>
    <numFmt numFmtId="166" formatCode="0.0000"/>
    <numFmt numFmtId="167" formatCode="#,##0.0"/>
    <numFmt numFmtId="168" formatCode="#,##0.00000"/>
    <numFmt numFmtId="169" formatCode="0.000_)"/>
  </numFmts>
  <fonts count="16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12"/>
      <name val="Arial Cyr"/>
      <charset val="204"/>
    </font>
    <font>
      <u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" fillId="0" borderId="0"/>
    <xf numFmtId="0" fontId="1" fillId="0" borderId="0"/>
  </cellStyleXfs>
  <cellXfs count="19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/>
    <xf numFmtId="0" fontId="5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wrapText="1"/>
    </xf>
    <xf numFmtId="0" fontId="6" fillId="0" borderId="4" xfId="0" applyFont="1" applyFill="1" applyBorder="1" applyAlignment="1"/>
    <xf numFmtId="164" fontId="4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166" fontId="5" fillId="4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8" fillId="0" borderId="7" xfId="0" applyFont="1" applyFill="1" applyBorder="1"/>
    <xf numFmtId="0" fontId="4" fillId="0" borderId="7" xfId="0" applyFont="1" applyFill="1" applyBorder="1"/>
    <xf numFmtId="0" fontId="4" fillId="4" borderId="7" xfId="0" applyFont="1" applyFill="1" applyBorder="1"/>
    <xf numFmtId="166" fontId="3" fillId="4" borderId="7" xfId="0" applyNumberFormat="1" applyFont="1" applyFill="1" applyBorder="1"/>
    <xf numFmtId="1" fontId="4" fillId="0" borderId="7" xfId="0" applyNumberFormat="1" applyFont="1" applyFill="1" applyBorder="1"/>
    <xf numFmtId="0" fontId="4" fillId="0" borderId="8" xfId="0" applyFont="1" applyFill="1" applyBorder="1"/>
    <xf numFmtId="0" fontId="0" fillId="0" borderId="0" xfId="0" applyBorder="1"/>
    <xf numFmtId="0" fontId="4" fillId="0" borderId="9" xfId="0" applyFont="1" applyFill="1" applyBorder="1"/>
    <xf numFmtId="0" fontId="4" fillId="0" borderId="1" xfId="1" applyFont="1" applyFill="1" applyBorder="1"/>
    <xf numFmtId="164" fontId="4" fillId="0" borderId="1" xfId="2" applyNumberFormat="1" applyFont="1" applyFill="1" applyBorder="1"/>
    <xf numFmtId="165" fontId="4" fillId="0" borderId="1" xfId="2" applyNumberFormat="1" applyFont="1" applyFill="1" applyBorder="1"/>
    <xf numFmtId="165" fontId="4" fillId="0" borderId="1" xfId="2" applyNumberFormat="1" applyFont="1" applyFill="1" applyBorder="1" applyAlignment="1" applyProtection="1">
      <alignment vertical="top"/>
    </xf>
    <xf numFmtId="0" fontId="4" fillId="0" borderId="1" xfId="2" applyFont="1" applyFill="1" applyBorder="1"/>
    <xf numFmtId="167" fontId="4" fillId="0" borderId="1" xfId="2" applyNumberFormat="1" applyFont="1" applyFill="1" applyBorder="1" applyAlignment="1" applyProtection="1">
      <alignment vertical="top"/>
    </xf>
    <xf numFmtId="167" fontId="4" fillId="0" borderId="1" xfId="3" applyNumberFormat="1" applyFont="1" applyFill="1" applyBorder="1"/>
    <xf numFmtId="168" fontId="4" fillId="4" borderId="1" xfId="2" applyNumberFormat="1" applyFont="1" applyFill="1" applyBorder="1"/>
    <xf numFmtId="168" fontId="3" fillId="4" borderId="1" xfId="2" applyNumberFormat="1" applyFont="1" applyFill="1" applyBorder="1"/>
    <xf numFmtId="1" fontId="4" fillId="0" borderId="1" xfId="2" applyNumberFormat="1" applyFont="1" applyFill="1" applyBorder="1"/>
    <xf numFmtId="0" fontId="4" fillId="0" borderId="1" xfId="0" applyFont="1" applyFill="1" applyBorder="1"/>
    <xf numFmtId="167" fontId="4" fillId="0" borderId="1" xfId="0" applyNumberFormat="1" applyFont="1" applyFill="1" applyBorder="1"/>
    <xf numFmtId="167" fontId="4" fillId="0" borderId="10" xfId="0" applyNumberFormat="1" applyFont="1" applyFill="1" applyBorder="1"/>
    <xf numFmtId="0" fontId="4" fillId="0" borderId="11" xfId="1" applyFont="1" applyFill="1" applyBorder="1"/>
    <xf numFmtId="0" fontId="8" fillId="0" borderId="12" xfId="0" applyFont="1" applyFill="1" applyBorder="1"/>
    <xf numFmtId="164" fontId="4" fillId="0" borderId="12" xfId="2" applyNumberFormat="1" applyFont="1" applyFill="1" applyBorder="1"/>
    <xf numFmtId="165" fontId="4" fillId="0" borderId="12" xfId="2" applyNumberFormat="1" applyFont="1" applyFill="1" applyBorder="1"/>
    <xf numFmtId="0" fontId="4" fillId="0" borderId="12" xfId="2" applyFont="1" applyFill="1" applyBorder="1"/>
    <xf numFmtId="167" fontId="4" fillId="0" borderId="12" xfId="2" applyNumberFormat="1" applyFont="1" applyFill="1" applyBorder="1" applyAlignment="1" applyProtection="1">
      <alignment vertical="top"/>
    </xf>
    <xf numFmtId="167" fontId="4" fillId="0" borderId="12" xfId="3" applyNumberFormat="1" applyFont="1" applyFill="1" applyBorder="1"/>
    <xf numFmtId="168" fontId="4" fillId="4" borderId="12" xfId="2" applyNumberFormat="1" applyFont="1" applyFill="1" applyBorder="1"/>
    <xf numFmtId="168" fontId="3" fillId="4" borderId="12" xfId="2" applyNumberFormat="1" applyFont="1" applyFill="1" applyBorder="1"/>
    <xf numFmtId="1" fontId="4" fillId="0" borderId="12" xfId="2" applyNumberFormat="1" applyFont="1" applyFill="1" applyBorder="1"/>
    <xf numFmtId="0" fontId="4" fillId="0" borderId="12" xfId="0" applyFont="1" applyFill="1" applyBorder="1"/>
    <xf numFmtId="167" fontId="4" fillId="0" borderId="12" xfId="0" applyNumberFormat="1" applyFont="1" applyFill="1" applyBorder="1"/>
    <xf numFmtId="167" fontId="4" fillId="0" borderId="13" xfId="0" applyNumberFormat="1" applyFont="1" applyFill="1" applyBorder="1"/>
    <xf numFmtId="0" fontId="4" fillId="0" borderId="6" xfId="1" applyFont="1" applyFill="1" applyBorder="1"/>
    <xf numFmtId="164" fontId="4" fillId="0" borderId="7" xfId="2" applyNumberFormat="1" applyFont="1" applyFill="1" applyBorder="1"/>
    <xf numFmtId="165" fontId="4" fillId="0" borderId="7" xfId="2" applyNumberFormat="1" applyFont="1" applyFill="1" applyBorder="1"/>
    <xf numFmtId="0" fontId="4" fillId="0" borderId="7" xfId="2" applyFont="1" applyFill="1" applyBorder="1"/>
    <xf numFmtId="167" fontId="4" fillId="0" borderId="7" xfId="2" applyNumberFormat="1" applyFont="1" applyFill="1" applyBorder="1" applyAlignment="1" applyProtection="1">
      <alignment vertical="top"/>
    </xf>
    <xf numFmtId="167" fontId="4" fillId="0" borderId="7" xfId="3" applyNumberFormat="1" applyFont="1" applyFill="1" applyBorder="1"/>
    <xf numFmtId="168" fontId="4" fillId="4" borderId="7" xfId="2" applyNumberFormat="1" applyFont="1" applyFill="1" applyBorder="1"/>
    <xf numFmtId="168" fontId="3" fillId="4" borderId="7" xfId="2" applyNumberFormat="1" applyFont="1" applyFill="1" applyBorder="1"/>
    <xf numFmtId="1" fontId="4" fillId="0" borderId="7" xfId="2" applyNumberFormat="1" applyFont="1" applyFill="1" applyBorder="1"/>
    <xf numFmtId="167" fontId="4" fillId="0" borderId="7" xfId="0" applyNumberFormat="1" applyFont="1" applyFill="1" applyBorder="1"/>
    <xf numFmtId="167" fontId="4" fillId="0" borderId="8" xfId="0" applyNumberFormat="1" applyFont="1" applyFill="1" applyBorder="1"/>
    <xf numFmtId="0" fontId="4" fillId="0" borderId="9" xfId="1" applyFont="1" applyFill="1" applyBorder="1"/>
    <xf numFmtId="0" fontId="8" fillId="0" borderId="1" xfId="0" applyFont="1" applyFill="1" applyBorder="1"/>
    <xf numFmtId="0" fontId="4" fillId="0" borderId="1" xfId="3" applyFont="1" applyFill="1" applyBorder="1"/>
    <xf numFmtId="1" fontId="4" fillId="0" borderId="1" xfId="0" applyNumberFormat="1" applyFont="1" applyFill="1" applyBorder="1"/>
    <xf numFmtId="0" fontId="10" fillId="0" borderId="1" xfId="0" applyFont="1" applyFill="1" applyBorder="1"/>
    <xf numFmtId="0" fontId="4" fillId="0" borderId="1" xfId="0" applyFont="1" applyFill="1" applyBorder="1" applyAlignment="1">
      <alignment wrapText="1"/>
    </xf>
    <xf numFmtId="167" fontId="4" fillId="0" borderId="1" xfId="2" applyNumberFormat="1" applyFont="1" applyFill="1" applyBorder="1"/>
    <xf numFmtId="165" fontId="4" fillId="0" borderId="1" xfId="0" applyNumberFormat="1" applyFont="1" applyFill="1" applyBorder="1"/>
    <xf numFmtId="2" fontId="4" fillId="0" borderId="1" xfId="0" applyNumberFormat="1" applyFont="1" applyFill="1" applyBorder="1"/>
    <xf numFmtId="169" fontId="4" fillId="0" borderId="1" xfId="0" applyNumberFormat="1" applyFont="1" applyFill="1" applyBorder="1"/>
    <xf numFmtId="0" fontId="10" fillId="0" borderId="12" xfId="0" applyFont="1" applyFill="1" applyBorder="1"/>
    <xf numFmtId="1" fontId="4" fillId="0" borderId="12" xfId="0" applyNumberFormat="1" applyFont="1" applyFill="1" applyBorder="1"/>
    <xf numFmtId="0" fontId="0" fillId="0" borderId="0" xfId="0" applyFill="1"/>
    <xf numFmtId="0" fontId="7" fillId="0" borderId="5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164" fontId="4" fillId="0" borderId="5" xfId="2" applyNumberFormat="1" applyFont="1" applyFill="1" applyBorder="1"/>
    <xf numFmtId="165" fontId="4" fillId="0" borderId="5" xfId="2" applyNumberFormat="1" applyFont="1" applyFill="1" applyBorder="1"/>
    <xf numFmtId="165" fontId="4" fillId="0" borderId="5" xfId="0" applyNumberFormat="1" applyFont="1" applyFill="1" applyBorder="1"/>
    <xf numFmtId="167" fontId="4" fillId="0" borderId="5" xfId="0" applyNumberFormat="1" applyFont="1" applyFill="1" applyBorder="1"/>
    <xf numFmtId="167" fontId="4" fillId="0" borderId="5" xfId="2" applyNumberFormat="1" applyFont="1" applyFill="1" applyBorder="1" applyAlignment="1" applyProtection="1">
      <alignment vertical="top"/>
    </xf>
    <xf numFmtId="167" fontId="4" fillId="0" borderId="5" xfId="3" applyNumberFormat="1" applyFont="1" applyFill="1" applyBorder="1"/>
    <xf numFmtId="168" fontId="4" fillId="0" borderId="5" xfId="0" applyNumberFormat="1" applyFont="1" applyFill="1" applyBorder="1"/>
    <xf numFmtId="168" fontId="3" fillId="0" borderId="5" xfId="2" applyNumberFormat="1" applyFont="1" applyFill="1" applyBorder="1"/>
    <xf numFmtId="1" fontId="4" fillId="0" borderId="5" xfId="2" applyNumberFormat="1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horizontal="center" vertical="center" wrapText="1"/>
    </xf>
    <xf numFmtId="165" fontId="4" fillId="0" borderId="7" xfId="4" applyNumberFormat="1" applyFont="1" applyFill="1" applyBorder="1"/>
    <xf numFmtId="0" fontId="4" fillId="0" borderId="7" xfId="4" applyFont="1" applyFill="1" applyBorder="1"/>
    <xf numFmtId="166" fontId="3" fillId="0" borderId="7" xfId="2" applyNumberFormat="1" applyFont="1" applyFill="1" applyBorder="1"/>
    <xf numFmtId="165" fontId="4" fillId="0" borderId="7" xfId="0" applyNumberFormat="1" applyFont="1" applyFill="1" applyBorder="1"/>
    <xf numFmtId="0" fontId="4" fillId="0" borderId="9" xfId="0" applyFont="1" applyFill="1" applyBorder="1" applyAlignment="1">
      <alignment horizontal="center" vertical="center" wrapText="1"/>
    </xf>
    <xf numFmtId="165" fontId="4" fillId="0" borderId="1" xfId="4" applyNumberFormat="1" applyFont="1" applyFill="1" applyBorder="1"/>
    <xf numFmtId="0" fontId="4" fillId="0" borderId="1" xfId="4" applyFont="1" applyFill="1" applyBorder="1"/>
    <xf numFmtId="166" fontId="3" fillId="0" borderId="1" xfId="2" applyNumberFormat="1" applyFont="1" applyFill="1" applyBorder="1"/>
    <xf numFmtId="165" fontId="4" fillId="0" borderId="1" xfId="3" applyNumberFormat="1" applyFont="1" applyFill="1" applyBorder="1"/>
    <xf numFmtId="0" fontId="4" fillId="0" borderId="11" xfId="0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right"/>
    </xf>
    <xf numFmtId="165" fontId="4" fillId="0" borderId="12" xfId="0" applyNumberFormat="1" applyFont="1" applyFill="1" applyBorder="1" applyAlignment="1">
      <alignment horizontal="right"/>
    </xf>
    <xf numFmtId="166" fontId="4" fillId="0" borderId="12" xfId="0" applyNumberFormat="1" applyFont="1" applyFill="1" applyBorder="1" applyAlignment="1">
      <alignment horizontal="right"/>
    </xf>
    <xf numFmtId="1" fontId="4" fillId="0" borderId="12" xfId="0" applyNumberFormat="1" applyFont="1" applyFill="1" applyBorder="1" applyAlignment="1">
      <alignment horizontal="right"/>
    </xf>
    <xf numFmtId="165" fontId="4" fillId="0" borderId="12" xfId="0" applyNumberFormat="1" applyFont="1" applyFill="1" applyBorder="1"/>
    <xf numFmtId="0" fontId="4" fillId="0" borderId="7" xfId="3" applyFont="1" applyFill="1" applyBorder="1"/>
    <xf numFmtId="0" fontId="4" fillId="0" borderId="12" xfId="0" applyFont="1" applyFill="1" applyBorder="1" applyAlignment="1">
      <alignment horizontal="right"/>
    </xf>
    <xf numFmtId="2" fontId="4" fillId="0" borderId="12" xfId="0" applyNumberFormat="1" applyFont="1" applyFill="1" applyBorder="1" applyAlignment="1">
      <alignment horizontal="right"/>
    </xf>
    <xf numFmtId="0" fontId="11" fillId="0" borderId="1" xfId="0" applyFont="1" applyFill="1" applyBorder="1"/>
    <xf numFmtId="0" fontId="4" fillId="0" borderId="7" xfId="0" applyFont="1" applyFill="1" applyBorder="1" applyAlignment="1">
      <alignment wrapText="1"/>
    </xf>
    <xf numFmtId="0" fontId="11" fillId="0" borderId="1" xfId="0" applyFont="1" applyFill="1" applyBorder="1" applyAlignment="1"/>
    <xf numFmtId="164" fontId="4" fillId="0" borderId="12" xfId="0" applyNumberFormat="1" applyFont="1" applyFill="1" applyBorder="1" applyAlignment="1">
      <alignment horizontal="right" vertical="center" wrapText="1"/>
    </xf>
    <xf numFmtId="165" fontId="4" fillId="0" borderId="12" xfId="0" applyNumberFormat="1" applyFont="1" applyFill="1" applyBorder="1" applyAlignment="1">
      <alignment horizontal="right" vertical="center" wrapText="1"/>
    </xf>
    <xf numFmtId="167" fontId="4" fillId="0" borderId="12" xfId="0" applyNumberFormat="1" applyFont="1" applyFill="1" applyBorder="1" applyAlignment="1">
      <alignment horizontal="right" vertical="center" wrapText="1"/>
    </xf>
    <xf numFmtId="166" fontId="4" fillId="0" borderId="12" xfId="0" applyNumberFormat="1" applyFont="1" applyFill="1" applyBorder="1" applyAlignment="1">
      <alignment horizontal="right" vertical="center" wrapText="1"/>
    </xf>
    <xf numFmtId="1" fontId="4" fillId="0" borderId="12" xfId="0" applyNumberFormat="1" applyFont="1" applyFill="1" applyBorder="1" applyAlignment="1">
      <alignment horizontal="right" vertical="center" wrapText="1"/>
    </xf>
    <xf numFmtId="0" fontId="11" fillId="0" borderId="1" xfId="3" applyFont="1" applyFill="1" applyBorder="1"/>
    <xf numFmtId="165" fontId="4" fillId="0" borderId="7" xfId="3" applyNumberFormat="1" applyFont="1" applyFill="1" applyBorder="1"/>
    <xf numFmtId="164" fontId="4" fillId="0" borderId="12" xfId="0" applyNumberFormat="1" applyFont="1" applyFill="1" applyBorder="1"/>
    <xf numFmtId="166" fontId="4" fillId="0" borderId="12" xfId="0" applyNumberFormat="1" applyFont="1" applyFill="1" applyBorder="1"/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/>
    <xf numFmtId="164" fontId="4" fillId="0" borderId="15" xfId="2" applyNumberFormat="1" applyFont="1" applyFill="1" applyBorder="1"/>
    <xf numFmtId="165" fontId="4" fillId="0" borderId="15" xfId="2" applyNumberFormat="1" applyFont="1" applyFill="1" applyBorder="1"/>
    <xf numFmtId="165" fontId="4" fillId="0" borderId="15" xfId="4" applyNumberFormat="1" applyFont="1" applyFill="1" applyBorder="1"/>
    <xf numFmtId="0" fontId="4" fillId="0" borderId="15" xfId="4" applyFont="1" applyFill="1" applyBorder="1"/>
    <xf numFmtId="167" fontId="4" fillId="0" borderId="15" xfId="2" applyNumberFormat="1" applyFont="1" applyFill="1" applyBorder="1" applyAlignment="1" applyProtection="1">
      <alignment vertical="top"/>
    </xf>
    <xf numFmtId="167" fontId="4" fillId="0" borderId="15" xfId="3" applyNumberFormat="1" applyFont="1" applyFill="1" applyBorder="1"/>
    <xf numFmtId="166" fontId="3" fillId="0" borderId="15" xfId="2" applyNumberFormat="1" applyFont="1" applyFill="1" applyBorder="1"/>
    <xf numFmtId="1" fontId="4" fillId="0" borderId="15" xfId="2" applyNumberFormat="1" applyFont="1" applyFill="1" applyBorder="1"/>
    <xf numFmtId="167" fontId="4" fillId="0" borderId="15" xfId="0" applyNumberFormat="1" applyFont="1" applyFill="1" applyBorder="1"/>
    <xf numFmtId="165" fontId="4" fillId="0" borderId="15" xfId="0" applyNumberFormat="1" applyFont="1" applyFill="1" applyBorder="1"/>
    <xf numFmtId="167" fontId="4" fillId="0" borderId="16" xfId="0" applyNumberFormat="1" applyFont="1" applyFill="1" applyBorder="1"/>
    <xf numFmtId="2" fontId="4" fillId="0" borderId="12" xfId="0" applyNumberFormat="1" applyFont="1" applyFill="1" applyBorder="1"/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right"/>
    </xf>
    <xf numFmtId="165" fontId="4" fillId="0" borderId="7" xfId="0" applyNumberFormat="1" applyFont="1" applyFill="1" applyBorder="1" applyAlignment="1">
      <alignment horizontal="right"/>
    </xf>
    <xf numFmtId="0" fontId="4" fillId="0" borderId="15" xfId="3" applyFont="1" applyFill="1" applyBorder="1"/>
    <xf numFmtId="165" fontId="4" fillId="0" borderId="15" xfId="3" applyNumberFormat="1" applyFont="1" applyFill="1" applyBorder="1"/>
    <xf numFmtId="0" fontId="10" fillId="0" borderId="15" xfId="0" applyFont="1" applyFill="1" applyBorder="1"/>
    <xf numFmtId="0" fontId="4" fillId="0" borderId="15" xfId="2" applyFont="1" applyFill="1" applyBorder="1"/>
    <xf numFmtId="0" fontId="12" fillId="0" borderId="1" xfId="3" applyFont="1" applyFill="1" applyBorder="1"/>
    <xf numFmtId="0" fontId="4" fillId="0" borderId="20" xfId="0" applyFont="1" applyFill="1" applyBorder="1" applyAlignment="1">
      <alignment horizontal="center" vertical="center" wrapText="1"/>
    </xf>
    <xf numFmtId="0" fontId="4" fillId="0" borderId="4" xfId="0" applyFont="1" applyFill="1" applyBorder="1"/>
    <xf numFmtId="164" fontId="4" fillId="0" borderId="4" xfId="0" applyNumberFormat="1" applyFont="1" applyFill="1" applyBorder="1"/>
    <xf numFmtId="165" fontId="4" fillId="0" borderId="4" xfId="2" applyNumberFormat="1" applyFont="1" applyFill="1" applyBorder="1"/>
    <xf numFmtId="165" fontId="4" fillId="0" borderId="4" xfId="0" applyNumberFormat="1" applyFont="1" applyFill="1" applyBorder="1"/>
    <xf numFmtId="167" fontId="4" fillId="0" borderId="4" xfId="2" applyNumberFormat="1" applyFont="1" applyFill="1" applyBorder="1" applyAlignment="1" applyProtection="1">
      <alignment vertical="top"/>
    </xf>
    <xf numFmtId="166" fontId="4" fillId="0" borderId="4" xfId="0" applyNumberFormat="1" applyFont="1" applyFill="1" applyBorder="1"/>
    <xf numFmtId="1" fontId="4" fillId="0" borderId="4" xfId="0" applyNumberFormat="1" applyFont="1" applyFill="1" applyBorder="1"/>
    <xf numFmtId="167" fontId="4" fillId="0" borderId="21" xfId="0" applyNumberFormat="1" applyFont="1" applyFill="1" applyBorder="1"/>
    <xf numFmtId="167" fontId="4" fillId="0" borderId="22" xfId="2" applyNumberFormat="1" applyFont="1" applyFill="1" applyBorder="1" applyAlignment="1" applyProtection="1">
      <alignment vertical="top"/>
    </xf>
    <xf numFmtId="0" fontId="4" fillId="0" borderId="1" xfId="2" applyNumberFormat="1" applyFont="1" applyFill="1" applyBorder="1" applyAlignment="1" applyProtection="1">
      <alignment vertical="top"/>
    </xf>
    <xf numFmtId="167" fontId="4" fillId="0" borderId="23" xfId="0" applyNumberFormat="1" applyFont="1" applyFill="1" applyBorder="1"/>
    <xf numFmtId="0" fontId="10" fillId="0" borderId="1" xfId="3" applyFont="1" applyFill="1" applyBorder="1"/>
    <xf numFmtId="0" fontId="4" fillId="0" borderId="17" xfId="0" applyFont="1" applyFill="1" applyBorder="1" applyAlignment="1">
      <alignment horizontal="center" vertical="center"/>
    </xf>
    <xf numFmtId="165" fontId="13" fillId="0" borderId="7" xfId="0" applyNumberFormat="1" applyFont="1" applyFill="1" applyBorder="1" applyAlignment="1">
      <alignment horizontal="right"/>
    </xf>
    <xf numFmtId="166" fontId="4" fillId="0" borderId="7" xfId="0" applyNumberFormat="1" applyFont="1" applyFill="1" applyBorder="1" applyAlignment="1">
      <alignment horizontal="right"/>
    </xf>
    <xf numFmtId="1" fontId="4" fillId="0" borderId="7" xfId="0" applyNumberFormat="1" applyFont="1" applyFill="1" applyBorder="1" applyAlignment="1">
      <alignment horizontal="right"/>
    </xf>
    <xf numFmtId="0" fontId="4" fillId="0" borderId="18" xfId="0" applyFont="1" applyFill="1" applyBorder="1" applyAlignment="1">
      <alignment horizontal="center" vertical="center"/>
    </xf>
    <xf numFmtId="167" fontId="13" fillId="0" borderId="1" xfId="2" applyNumberFormat="1" applyFont="1" applyFill="1" applyBorder="1" applyAlignment="1" applyProtection="1">
      <alignment vertical="top"/>
    </xf>
    <xf numFmtId="0" fontId="4" fillId="0" borderId="19" xfId="0" applyFont="1" applyFill="1" applyBorder="1" applyAlignment="1">
      <alignment horizontal="center" vertical="center"/>
    </xf>
    <xf numFmtId="165" fontId="13" fillId="0" borderId="12" xfId="0" applyNumberFormat="1" applyFont="1" applyFill="1" applyBorder="1" applyAlignment="1">
      <alignment horizontal="right"/>
    </xf>
    <xf numFmtId="165" fontId="4" fillId="0" borderId="8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69" fontId="4" fillId="0" borderId="1" xfId="3" applyNumberFormat="1" applyFont="1" applyFill="1" applyBorder="1"/>
    <xf numFmtId="169" fontId="11" fillId="0" borderId="1" xfId="3" applyNumberFormat="1" applyFont="1" applyFill="1" applyBorder="1"/>
    <xf numFmtId="0" fontId="4" fillId="0" borderId="11" xfId="0" applyFont="1" applyFill="1" applyBorder="1" applyAlignment="1">
      <alignment horizontal="center" vertical="center"/>
    </xf>
    <xf numFmtId="0" fontId="10" fillId="0" borderId="7" xfId="0" applyFont="1" applyFill="1" applyBorder="1"/>
    <xf numFmtId="0" fontId="14" fillId="0" borderId="0" xfId="0" applyFont="1" applyFill="1" applyBorder="1"/>
    <xf numFmtId="0" fontId="0" fillId="0" borderId="0" xfId="0" applyFill="1" applyBorder="1"/>
    <xf numFmtId="0" fontId="1" fillId="0" borderId="0" xfId="0" applyFont="1" applyFill="1" applyBorder="1"/>
    <xf numFmtId="166" fontId="15" fillId="0" borderId="0" xfId="0" applyNumberFormat="1" applyFont="1" applyFill="1" applyBorder="1"/>
    <xf numFmtId="1" fontId="0" fillId="0" borderId="0" xfId="0" applyNumberFormat="1" applyFill="1" applyBorder="1"/>
    <xf numFmtId="165" fontId="0" fillId="0" borderId="0" xfId="0" applyNumberFormat="1" applyFill="1" applyBorder="1"/>
  </cellXfs>
  <cellStyles count="5">
    <cellStyle name="Обычный" xfId="0" builtinId="0"/>
    <cellStyle name="Обычный_норматив (на 01.02.10) " xfId="2"/>
    <cellStyle name="Обычный_Норматив поселения городские 2010" xfId="4"/>
    <cellStyle name="Обычный_Норматив сельские поселения 2010" xfId="3"/>
    <cellStyle name="Обычный_Числ-ть ОМС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D271"/>
  <sheetViews>
    <sheetView tabSelected="1" topLeftCell="B1" zoomScale="96" zoomScaleNormal="96" workbookViewId="0">
      <pane xSplit="2" ySplit="9" topLeftCell="D10" activePane="bottomRight" state="frozen"/>
      <selection activeCell="B1" sqref="B1"/>
      <selection pane="topRight" activeCell="O1" sqref="O1"/>
      <selection pane="bottomLeft" activeCell="B7" sqref="B7"/>
      <selection pane="bottomRight" activeCell="AL9" sqref="AL9"/>
    </sheetView>
  </sheetViews>
  <sheetFormatPr defaultRowHeight="12.75" x14ac:dyDescent="0.2"/>
  <cols>
    <col min="1" max="1" width="3.28515625" customWidth="1"/>
    <col min="2" max="2" width="15.85546875" style="192" customWidth="1"/>
    <col min="3" max="3" width="29" style="192" customWidth="1"/>
    <col min="4" max="5" width="15.140625" style="192" hidden="1" customWidth="1"/>
    <col min="6" max="6" width="15.140625" style="192" customWidth="1"/>
    <col min="7" max="7" width="12.5703125" style="192" hidden="1" customWidth="1"/>
    <col min="8" max="8" width="10" style="192" hidden="1" customWidth="1"/>
    <col min="9" max="9" width="10.140625" style="192" hidden="1" customWidth="1"/>
    <col min="10" max="10" width="11.85546875" style="192" hidden="1" customWidth="1"/>
    <col min="11" max="11" width="11.140625" style="192" hidden="1" customWidth="1"/>
    <col min="12" max="12" width="17.140625" style="192" hidden="1" customWidth="1"/>
    <col min="13" max="13" width="18.7109375" style="192" customWidth="1"/>
    <col min="14" max="14" width="15" style="192" customWidth="1"/>
    <col min="15" max="15" width="12.140625" style="192" hidden="1" customWidth="1"/>
    <col min="16" max="17" width="11.28515625" style="192" hidden="1" customWidth="1"/>
    <col min="18" max="19" width="11.5703125" style="192" hidden="1" customWidth="1"/>
    <col min="20" max="20" width="15" style="192" hidden="1" customWidth="1"/>
    <col min="21" max="21" width="12.85546875" style="192" hidden="1" customWidth="1"/>
    <col min="22" max="22" width="17.7109375" style="194" hidden="1" customWidth="1"/>
    <col min="23" max="23" width="28.28515625" style="195" customWidth="1"/>
    <col min="24" max="24" width="12.28515625" style="192" hidden="1" customWidth="1"/>
    <col min="25" max="25" width="12.140625" style="192" hidden="1" customWidth="1"/>
    <col min="26" max="26" width="12.85546875" style="192" hidden="1" customWidth="1"/>
    <col min="27" max="27" width="11.140625" style="192" hidden="1" customWidth="1"/>
    <col min="28" max="28" width="14.5703125" style="192" hidden="1" customWidth="1"/>
    <col min="29" max="29" width="18.28515625" style="192" customWidth="1"/>
    <col min="30" max="30" width="13" style="192" customWidth="1"/>
  </cols>
  <sheetData>
    <row r="1" spans="2:30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2:30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42" customHeight="1" x14ac:dyDescent="0.2">
      <c r="B4" s="2" t="s">
        <v>1</v>
      </c>
      <c r="C4" s="2" t="s">
        <v>2</v>
      </c>
      <c r="D4" s="3" t="s">
        <v>3</v>
      </c>
      <c r="E4" s="4" t="s">
        <v>4</v>
      </c>
      <c r="F4" s="5" t="s">
        <v>5</v>
      </c>
      <c r="G4" s="6" t="s">
        <v>6</v>
      </c>
      <c r="H4" s="7" t="s">
        <v>7</v>
      </c>
      <c r="I4" s="8"/>
      <c r="J4" s="8"/>
      <c r="K4" s="9" t="s">
        <v>8</v>
      </c>
      <c r="L4" s="10"/>
      <c r="M4" s="5" t="s">
        <v>9</v>
      </c>
      <c r="N4" s="11" t="s">
        <v>10</v>
      </c>
      <c r="O4" s="12" t="s">
        <v>11</v>
      </c>
      <c r="P4" s="12" t="s">
        <v>7</v>
      </c>
      <c r="Q4" s="13"/>
      <c r="R4" s="12" t="s">
        <v>12</v>
      </c>
      <c r="S4" s="12" t="s">
        <v>13</v>
      </c>
      <c r="T4" s="14" t="s">
        <v>14</v>
      </c>
      <c r="U4" s="15" t="s">
        <v>15</v>
      </c>
      <c r="V4" s="16" t="s">
        <v>16</v>
      </c>
      <c r="W4" s="17" t="s">
        <v>17</v>
      </c>
      <c r="X4" s="12" t="s">
        <v>18</v>
      </c>
      <c r="Y4" s="7" t="s">
        <v>19</v>
      </c>
      <c r="Z4" s="18" t="s">
        <v>20</v>
      </c>
      <c r="AA4" s="18"/>
      <c r="AB4" s="19" t="s">
        <v>10</v>
      </c>
      <c r="AC4" s="5" t="s">
        <v>21</v>
      </c>
      <c r="AD4" s="19" t="s">
        <v>10</v>
      </c>
    </row>
    <row r="5" spans="2:30" ht="14.25" customHeight="1" x14ac:dyDescent="0.2">
      <c r="B5" s="20"/>
      <c r="C5" s="21"/>
      <c r="D5" s="3"/>
      <c r="E5" s="4"/>
      <c r="F5" s="5"/>
      <c r="G5" s="8"/>
      <c r="H5" s="7" t="s">
        <v>22</v>
      </c>
      <c r="I5" s="7" t="s">
        <v>23</v>
      </c>
      <c r="J5" s="7" t="s">
        <v>24</v>
      </c>
      <c r="K5" s="22" t="s">
        <v>25</v>
      </c>
      <c r="L5" s="7" t="s">
        <v>26</v>
      </c>
      <c r="M5" s="5"/>
      <c r="N5" s="11"/>
      <c r="O5" s="12"/>
      <c r="P5" s="12" t="s">
        <v>22</v>
      </c>
      <c r="Q5" s="12" t="s">
        <v>23</v>
      </c>
      <c r="R5" s="12"/>
      <c r="S5" s="12"/>
      <c r="T5" s="23"/>
      <c r="U5" s="15"/>
      <c r="V5" s="16"/>
      <c r="W5" s="17"/>
      <c r="X5" s="12"/>
      <c r="Y5" s="7"/>
      <c r="Z5" s="7" t="s">
        <v>27</v>
      </c>
      <c r="AA5" s="7" t="s">
        <v>28</v>
      </c>
      <c r="AB5" s="19"/>
      <c r="AC5" s="5"/>
      <c r="AD5" s="19"/>
    </row>
    <row r="6" spans="2:30" ht="26.25" customHeight="1" x14ac:dyDescent="0.2">
      <c r="B6" s="20"/>
      <c r="C6" s="21"/>
      <c r="D6" s="3"/>
      <c r="E6" s="4"/>
      <c r="F6" s="5"/>
      <c r="G6" s="8"/>
      <c r="H6" s="7"/>
      <c r="I6" s="7"/>
      <c r="J6" s="7"/>
      <c r="K6" s="24"/>
      <c r="L6" s="7"/>
      <c r="M6" s="5"/>
      <c r="N6" s="11"/>
      <c r="O6" s="12"/>
      <c r="P6" s="13"/>
      <c r="Q6" s="13"/>
      <c r="R6" s="12"/>
      <c r="S6" s="12"/>
      <c r="T6" s="23"/>
      <c r="U6" s="15"/>
      <c r="V6" s="16"/>
      <c r="W6" s="17"/>
      <c r="X6" s="12"/>
      <c r="Y6" s="7"/>
      <c r="Z6" s="7"/>
      <c r="AA6" s="7"/>
      <c r="AB6" s="19"/>
      <c r="AC6" s="5"/>
      <c r="AD6" s="19"/>
    </row>
    <row r="7" spans="2:30" ht="27.75" customHeight="1" x14ac:dyDescent="0.2">
      <c r="B7" s="20"/>
      <c r="C7" s="21"/>
      <c r="D7" s="3"/>
      <c r="E7" s="4"/>
      <c r="F7" s="5"/>
      <c r="G7" s="8"/>
      <c r="H7" s="7"/>
      <c r="I7" s="7"/>
      <c r="J7" s="7"/>
      <c r="K7" s="24"/>
      <c r="L7" s="7"/>
      <c r="M7" s="5"/>
      <c r="N7" s="11"/>
      <c r="O7" s="12"/>
      <c r="P7" s="13"/>
      <c r="Q7" s="13"/>
      <c r="R7" s="12"/>
      <c r="S7" s="12"/>
      <c r="T7" s="23"/>
      <c r="U7" s="15"/>
      <c r="V7" s="16"/>
      <c r="W7" s="17"/>
      <c r="X7" s="12"/>
      <c r="Y7" s="7"/>
      <c r="Z7" s="7"/>
      <c r="AA7" s="7"/>
      <c r="AB7" s="19"/>
      <c r="AC7" s="5"/>
      <c r="AD7" s="19"/>
    </row>
    <row r="8" spans="2:30" ht="21.75" hidden="1" customHeight="1" x14ac:dyDescent="0.2">
      <c r="B8" s="20"/>
      <c r="C8" s="21"/>
      <c r="D8" s="3"/>
      <c r="E8" s="4"/>
      <c r="F8" s="5"/>
      <c r="G8" s="8"/>
      <c r="H8" s="7"/>
      <c r="I8" s="7"/>
      <c r="J8" s="7"/>
      <c r="K8" s="24"/>
      <c r="L8" s="7"/>
      <c r="M8" s="5"/>
      <c r="N8" s="11"/>
      <c r="O8" s="12"/>
      <c r="P8" s="13"/>
      <c r="Q8" s="13"/>
      <c r="R8" s="12"/>
      <c r="S8" s="12"/>
      <c r="T8" s="23"/>
      <c r="U8" s="15"/>
      <c r="V8" s="16"/>
      <c r="W8" s="17"/>
      <c r="X8" s="12"/>
      <c r="Y8" s="7"/>
      <c r="Z8" s="7"/>
      <c r="AA8" s="7"/>
      <c r="AB8" s="19"/>
      <c r="AC8" s="5"/>
      <c r="AD8" s="19"/>
    </row>
    <row r="9" spans="2:30" ht="231" customHeight="1" thickBot="1" x14ac:dyDescent="0.25">
      <c r="B9" s="25"/>
      <c r="C9" s="26"/>
      <c r="D9" s="27"/>
      <c r="E9" s="28"/>
      <c r="F9" s="29"/>
      <c r="G9" s="30"/>
      <c r="H9" s="22"/>
      <c r="I9" s="22"/>
      <c r="J9" s="22"/>
      <c r="K9" s="24"/>
      <c r="L9" s="22"/>
      <c r="M9" s="29"/>
      <c r="N9" s="31"/>
      <c r="O9" s="32"/>
      <c r="P9" s="33"/>
      <c r="Q9" s="33"/>
      <c r="R9" s="32"/>
      <c r="S9" s="32"/>
      <c r="T9" s="23"/>
      <c r="U9" s="14"/>
      <c r="V9" s="34"/>
      <c r="W9" s="35"/>
      <c r="X9" s="32"/>
      <c r="Y9" s="22"/>
      <c r="Z9" s="22"/>
      <c r="AA9" s="22"/>
      <c r="AB9" s="36"/>
      <c r="AC9" s="29"/>
      <c r="AD9" s="36"/>
    </row>
    <row r="10" spans="2:30" s="44" customFormat="1" ht="21.75" customHeight="1" x14ac:dyDescent="0.25">
      <c r="B10" s="37"/>
      <c r="C10" s="38" t="s">
        <v>29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40"/>
      <c r="U10" s="40"/>
      <c r="V10" s="41"/>
      <c r="W10" s="42"/>
      <c r="X10" s="39"/>
      <c r="Y10" s="39"/>
      <c r="Z10" s="39"/>
      <c r="AA10" s="39"/>
      <c r="AB10" s="39"/>
      <c r="AC10" s="39"/>
      <c r="AD10" s="43"/>
    </row>
    <row r="11" spans="2:30" s="44" customFormat="1" ht="15.75" customHeight="1" x14ac:dyDescent="0.25">
      <c r="B11" s="45"/>
      <c r="C11" s="46" t="s">
        <v>30</v>
      </c>
      <c r="D11" s="47">
        <v>29.623000000000001</v>
      </c>
      <c r="E11" s="48">
        <v>1863.4</v>
      </c>
      <c r="F11" s="48">
        <f>E11*D11</f>
        <v>55199.498200000002</v>
      </c>
      <c r="G11" s="49">
        <v>55074.6</v>
      </c>
      <c r="H11" s="50"/>
      <c r="I11" s="50"/>
      <c r="J11" s="51"/>
      <c r="K11" s="51"/>
      <c r="L11" s="51"/>
      <c r="M11" s="51">
        <f t="shared" ref="M11:M16" si="0">G11+L11</f>
        <v>55074.6</v>
      </c>
      <c r="N11" s="51">
        <f t="shared" ref="N11:N16" si="1">M11-F11</f>
        <v>-124.89820000000327</v>
      </c>
      <c r="O11" s="51">
        <v>25509.8</v>
      </c>
      <c r="P11" s="50">
        <v>19564.900000000001</v>
      </c>
      <c r="Q11" s="50">
        <v>5944.9</v>
      </c>
      <c r="R11" s="50"/>
      <c r="S11" s="52"/>
      <c r="T11" s="53">
        <v>1644.90436</v>
      </c>
      <c r="U11" s="53">
        <v>14.811500000000001</v>
      </c>
      <c r="V11" s="54">
        <f t="shared" ref="V11:V16" si="2">T11+U11</f>
        <v>1659.71586</v>
      </c>
      <c r="W11" s="55">
        <v>52</v>
      </c>
      <c r="X11" s="56"/>
      <c r="Y11" s="56">
        <v>51</v>
      </c>
      <c r="Z11" s="56"/>
      <c r="AA11" s="56"/>
      <c r="AB11" s="57">
        <f>Y11-W11</f>
        <v>-1</v>
      </c>
      <c r="AC11" s="56">
        <f>Y11+AA11</f>
        <v>51</v>
      </c>
      <c r="AD11" s="58">
        <f>AC11-W11</f>
        <v>-1</v>
      </c>
    </row>
    <row r="12" spans="2:30" s="44" customFormat="1" ht="15.75" customHeight="1" x14ac:dyDescent="0.25">
      <c r="B12" s="45"/>
      <c r="C12" s="46" t="s">
        <v>31</v>
      </c>
      <c r="D12" s="47">
        <v>358.43700000000001</v>
      </c>
      <c r="E12" s="48">
        <v>1893.2</v>
      </c>
      <c r="F12" s="48">
        <f t="shared" ref="F12:F16" si="3">E12*D12</f>
        <v>678592.92840000009</v>
      </c>
      <c r="G12" s="49">
        <v>678234</v>
      </c>
      <c r="H12" s="50"/>
      <c r="I12" s="50"/>
      <c r="J12" s="51"/>
      <c r="K12" s="51"/>
      <c r="L12" s="51"/>
      <c r="M12" s="51">
        <f t="shared" si="0"/>
        <v>678234</v>
      </c>
      <c r="N12" s="51">
        <f t="shared" si="1"/>
        <v>-358.92840000009164</v>
      </c>
      <c r="O12" s="51">
        <v>355420.8</v>
      </c>
      <c r="P12" s="50">
        <v>274238.7</v>
      </c>
      <c r="Q12" s="50">
        <v>81182.100000000006</v>
      </c>
      <c r="R12" s="50"/>
      <c r="S12" s="52"/>
      <c r="T12" s="53">
        <v>11239.72237</v>
      </c>
      <c r="U12" s="53">
        <v>89.609250000000003</v>
      </c>
      <c r="V12" s="54">
        <f t="shared" si="2"/>
        <v>11329.331619999999</v>
      </c>
      <c r="W12" s="55">
        <v>560</v>
      </c>
      <c r="X12" s="56"/>
      <c r="Y12" s="56">
        <v>526</v>
      </c>
      <c r="Z12" s="56"/>
      <c r="AA12" s="56"/>
      <c r="AB12" s="57">
        <f t="shared" ref="AB12:AB16" si="4">Y12-W12</f>
        <v>-34</v>
      </c>
      <c r="AC12" s="56">
        <f t="shared" ref="AC12:AC87" si="5">Y12+AA12</f>
        <v>526</v>
      </c>
      <c r="AD12" s="58">
        <f t="shared" ref="AD12:AD87" si="6">AC12-W12</f>
        <v>-34</v>
      </c>
    </row>
    <row r="13" spans="2:30" s="44" customFormat="1" ht="15.75" customHeight="1" x14ac:dyDescent="0.25">
      <c r="B13" s="45"/>
      <c r="C13" s="46" t="s">
        <v>32</v>
      </c>
      <c r="D13" s="47">
        <v>74.804000000000002</v>
      </c>
      <c r="E13" s="48">
        <v>1826.4</v>
      </c>
      <c r="F13" s="48">
        <f t="shared" si="3"/>
        <v>136622.02560000002</v>
      </c>
      <c r="G13" s="49">
        <v>136622</v>
      </c>
      <c r="H13" s="50"/>
      <c r="I13" s="50"/>
      <c r="J13" s="51"/>
      <c r="K13" s="51"/>
      <c r="L13" s="51"/>
      <c r="M13" s="51">
        <f t="shared" si="0"/>
        <v>136622</v>
      </c>
      <c r="N13" s="51">
        <f t="shared" si="1"/>
        <v>-2.5600000022677705E-2</v>
      </c>
      <c r="O13" s="51">
        <v>53895</v>
      </c>
      <c r="P13" s="50">
        <v>40910.300000000003</v>
      </c>
      <c r="Q13" s="50">
        <v>12984.7</v>
      </c>
      <c r="R13" s="50"/>
      <c r="S13" s="52"/>
      <c r="T13" s="53">
        <v>2701.9351900000001</v>
      </c>
      <c r="U13" s="53">
        <v>29.921600000000002</v>
      </c>
      <c r="V13" s="54">
        <f t="shared" si="2"/>
        <v>2731.8567900000003</v>
      </c>
      <c r="W13" s="55">
        <v>129</v>
      </c>
      <c r="X13" s="56"/>
      <c r="Y13" s="56">
        <v>124</v>
      </c>
      <c r="Z13" s="56"/>
      <c r="AA13" s="56"/>
      <c r="AB13" s="57">
        <f t="shared" si="4"/>
        <v>-5</v>
      </c>
      <c r="AC13" s="56">
        <f t="shared" si="5"/>
        <v>124</v>
      </c>
      <c r="AD13" s="58">
        <f t="shared" si="6"/>
        <v>-5</v>
      </c>
    </row>
    <row r="14" spans="2:30" s="44" customFormat="1" ht="15.75" customHeight="1" x14ac:dyDescent="0.25">
      <c r="B14" s="45"/>
      <c r="C14" s="46" t="s">
        <v>33</v>
      </c>
      <c r="D14" s="47">
        <v>30.181000000000001</v>
      </c>
      <c r="E14" s="48">
        <v>2248</v>
      </c>
      <c r="F14" s="48">
        <f t="shared" si="3"/>
        <v>67846.888000000006</v>
      </c>
      <c r="G14" s="49">
        <v>64513.2</v>
      </c>
      <c r="H14" s="51"/>
      <c r="I14" s="51"/>
      <c r="J14" s="51"/>
      <c r="K14" s="51"/>
      <c r="L14" s="51"/>
      <c r="M14" s="51">
        <f t="shared" si="0"/>
        <v>64513.2</v>
      </c>
      <c r="N14" s="51">
        <f t="shared" si="1"/>
        <v>-3333.6880000000092</v>
      </c>
      <c r="O14" s="51">
        <v>25420.2</v>
      </c>
      <c r="P14" s="51">
        <v>19744.400000000001</v>
      </c>
      <c r="Q14" s="51">
        <v>5675.8</v>
      </c>
      <c r="R14" s="51"/>
      <c r="S14" s="52"/>
      <c r="T14" s="53">
        <v>1646.8220100000001</v>
      </c>
      <c r="U14" s="53">
        <v>15.0905</v>
      </c>
      <c r="V14" s="54">
        <f t="shared" si="2"/>
        <v>1661.9125100000001</v>
      </c>
      <c r="W14" s="55">
        <v>47</v>
      </c>
      <c r="X14" s="56"/>
      <c r="Y14" s="56">
        <v>47</v>
      </c>
      <c r="Z14" s="56"/>
      <c r="AA14" s="56"/>
      <c r="AB14" s="57">
        <f t="shared" si="4"/>
        <v>0</v>
      </c>
      <c r="AC14" s="56">
        <f t="shared" si="5"/>
        <v>47</v>
      </c>
      <c r="AD14" s="58">
        <f t="shared" si="6"/>
        <v>0</v>
      </c>
    </row>
    <row r="15" spans="2:30" s="44" customFormat="1" ht="15.75" customHeight="1" x14ac:dyDescent="0.25">
      <c r="B15" s="45"/>
      <c r="C15" s="46" t="s">
        <v>34</v>
      </c>
      <c r="D15" s="47">
        <v>30.506</v>
      </c>
      <c r="E15" s="48">
        <v>1917.6</v>
      </c>
      <c r="F15" s="48">
        <f t="shared" si="3"/>
        <v>58498.3056</v>
      </c>
      <c r="G15" s="49">
        <v>57982.1</v>
      </c>
      <c r="H15" s="50"/>
      <c r="I15" s="50"/>
      <c r="J15" s="51"/>
      <c r="K15" s="51"/>
      <c r="L15" s="51"/>
      <c r="M15" s="51">
        <f t="shared" si="0"/>
        <v>57982.1</v>
      </c>
      <c r="N15" s="51">
        <f t="shared" si="1"/>
        <v>-516.20560000000114</v>
      </c>
      <c r="O15" s="51">
        <v>28812.3</v>
      </c>
      <c r="P15" s="50">
        <v>22210.799999999999</v>
      </c>
      <c r="Q15" s="50">
        <v>6601.4</v>
      </c>
      <c r="R15" s="50"/>
      <c r="S15" s="52"/>
      <c r="T15" s="53">
        <v>1647.93886</v>
      </c>
      <c r="U15" s="53">
        <v>15.253</v>
      </c>
      <c r="V15" s="54">
        <f t="shared" si="2"/>
        <v>1663.1918599999999</v>
      </c>
      <c r="W15" s="55">
        <v>49</v>
      </c>
      <c r="X15" s="56"/>
      <c r="Y15" s="56">
        <v>49</v>
      </c>
      <c r="Z15" s="56"/>
      <c r="AA15" s="56"/>
      <c r="AB15" s="57">
        <f t="shared" si="4"/>
        <v>0</v>
      </c>
      <c r="AC15" s="56">
        <f t="shared" si="5"/>
        <v>49</v>
      </c>
      <c r="AD15" s="58">
        <f t="shared" si="6"/>
        <v>0</v>
      </c>
    </row>
    <row r="16" spans="2:30" s="44" customFormat="1" ht="15.75" customHeight="1" x14ac:dyDescent="0.25">
      <c r="B16" s="45"/>
      <c r="C16" s="46" t="s">
        <v>35</v>
      </c>
      <c r="D16" s="47">
        <v>53.311999999999998</v>
      </c>
      <c r="E16" s="48">
        <v>1663.1</v>
      </c>
      <c r="F16" s="48">
        <f t="shared" si="3"/>
        <v>88663.187199999986</v>
      </c>
      <c r="G16" s="49">
        <v>88663.2</v>
      </c>
      <c r="H16" s="50"/>
      <c r="I16" s="50"/>
      <c r="J16" s="51"/>
      <c r="K16" s="51"/>
      <c r="L16" s="51"/>
      <c r="M16" s="51">
        <f t="shared" si="0"/>
        <v>88663.2</v>
      </c>
      <c r="N16" s="51">
        <f t="shared" si="1"/>
        <v>1.2800000011338852E-2</v>
      </c>
      <c r="O16" s="51">
        <v>45909</v>
      </c>
      <c r="P16" s="50">
        <v>35397.699999999997</v>
      </c>
      <c r="Q16" s="50">
        <v>10511.3</v>
      </c>
      <c r="R16" s="50"/>
      <c r="S16" s="52"/>
      <c r="T16" s="53">
        <v>1813.1211499999999</v>
      </c>
      <c r="U16" s="53">
        <v>21.3248</v>
      </c>
      <c r="V16" s="54">
        <f t="shared" si="2"/>
        <v>1834.44595</v>
      </c>
      <c r="W16" s="55">
        <v>83</v>
      </c>
      <c r="X16" s="56"/>
      <c r="Y16" s="56">
        <v>83</v>
      </c>
      <c r="Z16" s="56"/>
      <c r="AA16" s="56"/>
      <c r="AB16" s="57">
        <f t="shared" si="4"/>
        <v>0</v>
      </c>
      <c r="AC16" s="56">
        <f t="shared" si="5"/>
        <v>83</v>
      </c>
      <c r="AD16" s="58">
        <f t="shared" si="6"/>
        <v>0</v>
      </c>
    </row>
    <row r="17" spans="2:30" s="44" customFormat="1" ht="15.75" customHeight="1" thickBot="1" x14ac:dyDescent="0.3">
      <c r="B17" s="59"/>
      <c r="C17" s="60"/>
      <c r="D17" s="61"/>
      <c r="E17" s="62"/>
      <c r="F17" s="62"/>
      <c r="G17" s="62"/>
      <c r="H17" s="63"/>
      <c r="I17" s="63"/>
      <c r="J17" s="64"/>
      <c r="K17" s="64"/>
      <c r="L17" s="64"/>
      <c r="M17" s="64"/>
      <c r="N17" s="64"/>
      <c r="O17" s="64"/>
      <c r="P17" s="63"/>
      <c r="Q17" s="63"/>
      <c r="R17" s="63"/>
      <c r="S17" s="65"/>
      <c r="T17" s="66"/>
      <c r="U17" s="66"/>
      <c r="V17" s="67"/>
      <c r="W17" s="68"/>
      <c r="X17" s="69"/>
      <c r="Y17" s="69"/>
      <c r="Z17" s="69"/>
      <c r="AA17" s="69"/>
      <c r="AB17" s="70"/>
      <c r="AC17" s="69"/>
      <c r="AD17" s="71"/>
    </row>
    <row r="18" spans="2:30" s="44" customFormat="1" ht="15.75" customHeight="1" x14ac:dyDescent="0.25">
      <c r="B18" s="72"/>
      <c r="C18" s="38" t="s">
        <v>36</v>
      </c>
      <c r="D18" s="73"/>
      <c r="E18" s="74"/>
      <c r="F18" s="74"/>
      <c r="G18" s="74"/>
      <c r="H18" s="75"/>
      <c r="I18" s="75"/>
      <c r="J18" s="76"/>
      <c r="K18" s="76"/>
      <c r="L18" s="76"/>
      <c r="M18" s="76"/>
      <c r="N18" s="76"/>
      <c r="O18" s="76"/>
      <c r="P18" s="75"/>
      <c r="Q18" s="75"/>
      <c r="R18" s="75"/>
      <c r="S18" s="77"/>
      <c r="T18" s="78"/>
      <c r="U18" s="78"/>
      <c r="V18" s="79"/>
      <c r="W18" s="80"/>
      <c r="X18" s="39"/>
      <c r="Y18" s="39"/>
      <c r="Z18" s="39"/>
      <c r="AA18" s="39"/>
      <c r="AB18" s="81"/>
      <c r="AC18" s="39"/>
      <c r="AD18" s="82"/>
    </row>
    <row r="19" spans="2:30" s="44" customFormat="1" ht="15.75" customHeight="1" x14ac:dyDescent="0.25">
      <c r="B19" s="83"/>
      <c r="C19" s="84"/>
      <c r="D19" s="47"/>
      <c r="E19" s="48"/>
      <c r="F19" s="48"/>
      <c r="G19" s="48"/>
      <c r="H19" s="50"/>
      <c r="I19" s="50"/>
      <c r="J19" s="51"/>
      <c r="K19" s="51"/>
      <c r="L19" s="51"/>
      <c r="M19" s="51"/>
      <c r="N19" s="51"/>
      <c r="O19" s="51"/>
      <c r="P19" s="50"/>
      <c r="Q19" s="50"/>
      <c r="R19" s="50"/>
      <c r="S19" s="52"/>
      <c r="T19" s="53"/>
      <c r="U19" s="53"/>
      <c r="V19" s="54"/>
      <c r="W19" s="55"/>
      <c r="X19" s="56"/>
      <c r="Y19" s="56"/>
      <c r="Z19" s="56"/>
      <c r="AA19" s="56"/>
      <c r="AB19" s="57"/>
      <c r="AC19" s="56"/>
      <c r="AD19" s="58"/>
    </row>
    <row r="20" spans="2:30" s="44" customFormat="1" ht="15.75" customHeight="1" x14ac:dyDescent="0.25">
      <c r="B20" s="83"/>
      <c r="C20" s="56" t="s">
        <v>37</v>
      </c>
      <c r="D20" s="47">
        <v>33.630000000000003</v>
      </c>
      <c r="E20" s="48">
        <v>2745.7</v>
      </c>
      <c r="F20" s="48">
        <f t="shared" ref="F20:F40" si="7">E20*D20</f>
        <v>92337.891000000003</v>
      </c>
      <c r="G20" s="48">
        <v>91605.3</v>
      </c>
      <c r="H20" s="50"/>
      <c r="I20" s="50"/>
      <c r="J20" s="51"/>
      <c r="K20" s="51"/>
      <c r="L20" s="51">
        <v>-3.1</v>
      </c>
      <c r="M20" s="51">
        <f t="shared" ref="M20:M40" si="8">G20+L20</f>
        <v>91602.2</v>
      </c>
      <c r="N20" s="51">
        <f t="shared" ref="N20:N40" si="9">M20-F20</f>
        <v>-735.69100000000617</v>
      </c>
      <c r="O20" s="51">
        <v>40287.4</v>
      </c>
      <c r="P20" s="50">
        <v>30942.7</v>
      </c>
      <c r="Q20" s="50">
        <v>9344.7000000000007</v>
      </c>
      <c r="R20" s="50"/>
      <c r="S20" s="85"/>
      <c r="T20" s="53">
        <v>1629.30702</v>
      </c>
      <c r="U20" s="53">
        <v>16.815000000000001</v>
      </c>
      <c r="V20" s="54">
        <f t="shared" ref="V20:V29" si="10">T20+U20</f>
        <v>1646.12202</v>
      </c>
      <c r="W20" s="55">
        <v>94</v>
      </c>
      <c r="X20" s="56"/>
      <c r="Y20" s="56">
        <v>79</v>
      </c>
      <c r="Z20" s="56"/>
      <c r="AA20" s="56"/>
      <c r="AB20" s="57">
        <f>(Y20+AA20)-W20</f>
        <v>-15</v>
      </c>
      <c r="AC20" s="56">
        <f>Y20+AA20</f>
        <v>79</v>
      </c>
      <c r="AD20" s="58">
        <f>AC20-W20</f>
        <v>-15</v>
      </c>
    </row>
    <row r="21" spans="2:30" s="44" customFormat="1" ht="15.75" customHeight="1" x14ac:dyDescent="0.25">
      <c r="B21" s="83"/>
      <c r="C21" s="56" t="s">
        <v>38</v>
      </c>
      <c r="D21" s="47">
        <v>3.9430000000000001</v>
      </c>
      <c r="E21" s="48">
        <v>9276.7999999999993</v>
      </c>
      <c r="F21" s="48">
        <f t="shared" si="7"/>
        <v>36578.422399999996</v>
      </c>
      <c r="G21" s="48">
        <v>34604.800000000003</v>
      </c>
      <c r="H21" s="50"/>
      <c r="I21" s="50"/>
      <c r="J21" s="51"/>
      <c r="K21" s="51"/>
      <c r="L21" s="51">
        <v>-440</v>
      </c>
      <c r="M21" s="51">
        <f t="shared" si="8"/>
        <v>34164.800000000003</v>
      </c>
      <c r="N21" s="51">
        <f t="shared" si="9"/>
        <v>-2413.6223999999929</v>
      </c>
      <c r="O21" s="51">
        <v>11610.1</v>
      </c>
      <c r="P21" s="50">
        <v>8972.7999999999993</v>
      </c>
      <c r="Q21" s="50">
        <v>2637.3</v>
      </c>
      <c r="R21" s="50"/>
      <c r="S21" s="50"/>
      <c r="T21" s="53">
        <v>688.79274999999996</v>
      </c>
      <c r="U21" s="53">
        <v>2.3658000000000001</v>
      </c>
      <c r="V21" s="54">
        <f t="shared" si="10"/>
        <v>691.15854999999999</v>
      </c>
      <c r="W21" s="55">
        <v>22</v>
      </c>
      <c r="X21" s="56"/>
      <c r="Y21" s="56">
        <v>22</v>
      </c>
      <c r="Z21" s="56"/>
      <c r="AA21" s="56"/>
      <c r="AB21" s="57">
        <f>(Y21+AA21)-W21</f>
        <v>0</v>
      </c>
      <c r="AC21" s="86">
        <f>Y21+AA21</f>
        <v>22</v>
      </c>
      <c r="AD21" s="58">
        <f>AC21-W21</f>
        <v>0</v>
      </c>
    </row>
    <row r="22" spans="2:30" s="44" customFormat="1" ht="15.75" customHeight="1" x14ac:dyDescent="0.25">
      <c r="B22" s="83"/>
      <c r="C22" s="87" t="s">
        <v>39</v>
      </c>
      <c r="D22" s="47">
        <v>15.731999999999999</v>
      </c>
      <c r="E22" s="48">
        <v>3311</v>
      </c>
      <c r="F22" s="48">
        <f t="shared" si="7"/>
        <v>52088.651999999995</v>
      </c>
      <c r="G22" s="48">
        <v>53303.8</v>
      </c>
      <c r="H22" s="50"/>
      <c r="I22" s="50"/>
      <c r="J22" s="51"/>
      <c r="K22" s="51"/>
      <c r="L22" s="51">
        <v>-1217.5999999999999</v>
      </c>
      <c r="M22" s="51">
        <f t="shared" si="8"/>
        <v>52086.200000000004</v>
      </c>
      <c r="N22" s="51">
        <f t="shared" si="9"/>
        <v>-2.4519999999902211</v>
      </c>
      <c r="O22" s="51">
        <v>20529.900000000001</v>
      </c>
      <c r="P22" s="50">
        <v>15727.6</v>
      </c>
      <c r="Q22" s="50">
        <v>4802.3</v>
      </c>
      <c r="R22" s="50"/>
      <c r="S22" s="50"/>
      <c r="T22" s="53">
        <v>762.77719999999999</v>
      </c>
      <c r="U22" s="53">
        <v>9.4391999999999996</v>
      </c>
      <c r="V22" s="54">
        <f t="shared" si="10"/>
        <v>772.21640000000002</v>
      </c>
      <c r="W22" s="55">
        <v>49</v>
      </c>
      <c r="X22" s="56"/>
      <c r="Y22" s="56">
        <v>44</v>
      </c>
      <c r="Z22" s="56"/>
      <c r="AA22" s="56"/>
      <c r="AB22" s="57">
        <f t="shared" ref="AB22:AB40" si="11">(Y22+AA22)-W22</f>
        <v>-5</v>
      </c>
      <c r="AC22" s="86">
        <f>Y22+AA22</f>
        <v>44</v>
      </c>
      <c r="AD22" s="58">
        <f t="shared" ref="AD22:AD40" si="12">AC22-W22</f>
        <v>-5</v>
      </c>
    </row>
    <row r="23" spans="2:30" s="44" customFormat="1" ht="15.75" customHeight="1" x14ac:dyDescent="0.25">
      <c r="B23" s="83"/>
      <c r="C23" s="88" t="s">
        <v>40</v>
      </c>
      <c r="D23" s="47">
        <v>11.865</v>
      </c>
      <c r="E23" s="48">
        <v>4729.1000000000004</v>
      </c>
      <c r="F23" s="48">
        <f t="shared" si="7"/>
        <v>56110.771500000003</v>
      </c>
      <c r="G23" s="48">
        <v>55437.7</v>
      </c>
      <c r="H23" s="50"/>
      <c r="I23" s="50"/>
      <c r="J23" s="51"/>
      <c r="K23" s="51"/>
      <c r="L23" s="51">
        <v>-1844.8</v>
      </c>
      <c r="M23" s="51">
        <f>G23+L23</f>
        <v>53592.899999999994</v>
      </c>
      <c r="N23" s="51">
        <f t="shared" si="9"/>
        <v>-2517.8715000000084</v>
      </c>
      <c r="O23" s="51">
        <v>24345.599999999999</v>
      </c>
      <c r="P23" s="50">
        <v>18796.8</v>
      </c>
      <c r="Q23" s="50">
        <v>5548.8</v>
      </c>
      <c r="R23" s="50"/>
      <c r="S23" s="89"/>
      <c r="T23" s="53">
        <v>739.98662000000002</v>
      </c>
      <c r="U23" s="53">
        <v>7.1189999999999998</v>
      </c>
      <c r="V23" s="54">
        <f t="shared" si="10"/>
        <v>747.10562000000004</v>
      </c>
      <c r="W23" s="55">
        <v>55</v>
      </c>
      <c r="X23" s="56"/>
      <c r="Y23" s="56">
        <v>52</v>
      </c>
      <c r="Z23" s="56"/>
      <c r="AA23" s="56">
        <v>-2</v>
      </c>
      <c r="AB23" s="57">
        <f>(Y23+AA23)-W23</f>
        <v>-5</v>
      </c>
      <c r="AC23" s="86">
        <f t="shared" ref="AC23:AC39" si="13">Y23+AA23</f>
        <v>50</v>
      </c>
      <c r="AD23" s="58">
        <f t="shared" si="12"/>
        <v>-5</v>
      </c>
    </row>
    <row r="24" spans="2:30" s="44" customFormat="1" ht="15.75" customHeight="1" x14ac:dyDescent="0.25">
      <c r="B24" s="83"/>
      <c r="C24" s="56" t="s">
        <v>41</v>
      </c>
      <c r="D24" s="47">
        <v>12.153</v>
      </c>
      <c r="E24" s="48">
        <v>4135.7</v>
      </c>
      <c r="F24" s="48">
        <f t="shared" si="7"/>
        <v>50261.162100000001</v>
      </c>
      <c r="G24" s="48">
        <v>61482.6</v>
      </c>
      <c r="H24" s="50"/>
      <c r="I24" s="50"/>
      <c r="J24" s="51"/>
      <c r="K24" s="51"/>
      <c r="L24" s="51">
        <v>-11362.9</v>
      </c>
      <c r="M24" s="51">
        <f t="shared" si="8"/>
        <v>50119.7</v>
      </c>
      <c r="N24" s="51">
        <f t="shared" si="9"/>
        <v>-141.46210000000428</v>
      </c>
      <c r="O24" s="51">
        <v>22359</v>
      </c>
      <c r="P24" s="50">
        <v>17128</v>
      </c>
      <c r="Q24" s="50">
        <v>5231</v>
      </c>
      <c r="R24" s="50"/>
      <c r="S24" s="89"/>
      <c r="T24" s="53">
        <v>740.97636</v>
      </c>
      <c r="U24" s="53">
        <v>7.2918000000000003</v>
      </c>
      <c r="V24" s="54">
        <f t="shared" si="10"/>
        <v>748.26815999999997</v>
      </c>
      <c r="W24" s="55">
        <v>46</v>
      </c>
      <c r="X24" s="56"/>
      <c r="Y24" s="56">
        <v>56</v>
      </c>
      <c r="Z24" s="56"/>
      <c r="AA24" s="56">
        <v>-10</v>
      </c>
      <c r="AB24" s="57">
        <f t="shared" si="11"/>
        <v>0</v>
      </c>
      <c r="AC24" s="86">
        <f t="shared" si="13"/>
        <v>46</v>
      </c>
      <c r="AD24" s="58">
        <f t="shared" si="12"/>
        <v>0</v>
      </c>
    </row>
    <row r="25" spans="2:30" s="44" customFormat="1" ht="15.75" customHeight="1" x14ac:dyDescent="0.25">
      <c r="B25" s="83"/>
      <c r="C25" s="56" t="s">
        <v>42</v>
      </c>
      <c r="D25" s="47">
        <v>40.478000000000002</v>
      </c>
      <c r="E25" s="48">
        <v>2706.7</v>
      </c>
      <c r="F25" s="48">
        <f t="shared" si="7"/>
        <v>109561.8026</v>
      </c>
      <c r="G25" s="48">
        <v>114912.7</v>
      </c>
      <c r="H25" s="50"/>
      <c r="I25" s="50"/>
      <c r="J25" s="51"/>
      <c r="K25" s="51"/>
      <c r="L25" s="51">
        <f>1209.6-14348.8</f>
        <v>-13139.199999999999</v>
      </c>
      <c r="M25" s="51">
        <f t="shared" si="8"/>
        <v>101773.5</v>
      </c>
      <c r="N25" s="51">
        <f t="shared" si="9"/>
        <v>-7788.3025999999954</v>
      </c>
      <c r="O25" s="51">
        <v>47434.7</v>
      </c>
      <c r="P25" s="50">
        <v>36440.1</v>
      </c>
      <c r="Q25" s="50">
        <v>10994.6</v>
      </c>
      <c r="R25" s="50">
        <f>455.4-3191.1</f>
        <v>-2735.7</v>
      </c>
      <c r="S25" s="89"/>
      <c r="T25" s="53">
        <v>1652.8407199999999</v>
      </c>
      <c r="U25" s="53">
        <v>20.239000000000001</v>
      </c>
      <c r="V25" s="54">
        <f t="shared" si="10"/>
        <v>1673.07972</v>
      </c>
      <c r="W25" s="55">
        <v>78</v>
      </c>
      <c r="X25" s="56"/>
      <c r="Y25" s="56">
        <v>88</v>
      </c>
      <c r="Z25" s="56"/>
      <c r="AA25" s="56">
        <f>1-11</f>
        <v>-10</v>
      </c>
      <c r="AB25" s="57">
        <f t="shared" si="11"/>
        <v>0</v>
      </c>
      <c r="AC25" s="86">
        <f t="shared" si="13"/>
        <v>78</v>
      </c>
      <c r="AD25" s="58">
        <f t="shared" si="12"/>
        <v>0</v>
      </c>
    </row>
    <row r="26" spans="2:30" s="44" customFormat="1" ht="15.75" customHeight="1" x14ac:dyDescent="0.25">
      <c r="B26" s="83"/>
      <c r="C26" s="56" t="s">
        <v>43</v>
      </c>
      <c r="D26" s="47">
        <v>7.3360000000000003</v>
      </c>
      <c r="E26" s="48">
        <v>6562</v>
      </c>
      <c r="F26" s="48">
        <f t="shared" si="7"/>
        <v>48138.832000000002</v>
      </c>
      <c r="G26" s="48">
        <v>41060.199999999997</v>
      </c>
      <c r="H26" s="50"/>
      <c r="I26" s="50"/>
      <c r="J26" s="51"/>
      <c r="K26" s="51"/>
      <c r="L26" s="51">
        <v>-18</v>
      </c>
      <c r="M26" s="51">
        <f t="shared" si="8"/>
        <v>41042.199999999997</v>
      </c>
      <c r="N26" s="51">
        <f t="shared" si="9"/>
        <v>-7096.6320000000051</v>
      </c>
      <c r="O26" s="51">
        <v>16081</v>
      </c>
      <c r="P26" s="50">
        <v>12242.4</v>
      </c>
      <c r="Q26" s="50">
        <v>3838.5</v>
      </c>
      <c r="R26" s="50"/>
      <c r="S26" s="50"/>
      <c r="T26" s="53">
        <v>724.42235000000005</v>
      </c>
      <c r="U26" s="53">
        <v>4.4016000000000002</v>
      </c>
      <c r="V26" s="54">
        <f t="shared" si="10"/>
        <v>728.82395000000008</v>
      </c>
      <c r="W26" s="55">
        <v>43</v>
      </c>
      <c r="X26" s="56"/>
      <c r="Y26" s="56">
        <v>41</v>
      </c>
      <c r="Z26" s="56"/>
      <c r="AA26" s="56"/>
      <c r="AB26" s="57">
        <f>(Y26+AA26)-W26</f>
        <v>-2</v>
      </c>
      <c r="AC26" s="86">
        <f t="shared" si="13"/>
        <v>41</v>
      </c>
      <c r="AD26" s="58">
        <f t="shared" si="12"/>
        <v>-2</v>
      </c>
    </row>
    <row r="27" spans="2:30" s="44" customFormat="1" ht="15.75" customHeight="1" x14ac:dyDescent="0.25">
      <c r="B27" s="83"/>
      <c r="C27" s="56" t="s">
        <v>44</v>
      </c>
      <c r="D27" s="47">
        <v>17.408000000000001</v>
      </c>
      <c r="E27" s="48">
        <v>3657.9</v>
      </c>
      <c r="F27" s="48">
        <f t="shared" si="7"/>
        <v>63676.723200000008</v>
      </c>
      <c r="G27" s="48">
        <v>64939.3</v>
      </c>
      <c r="H27" s="50"/>
      <c r="I27" s="50"/>
      <c r="J27" s="51"/>
      <c r="K27" s="51"/>
      <c r="L27" s="51">
        <v>-1706.9</v>
      </c>
      <c r="M27" s="51">
        <f t="shared" si="8"/>
        <v>63232.4</v>
      </c>
      <c r="N27" s="51">
        <f t="shared" si="9"/>
        <v>-444.32320000000618</v>
      </c>
      <c r="O27" s="51">
        <v>23278.3</v>
      </c>
      <c r="P27" s="50">
        <v>17369</v>
      </c>
      <c r="Q27" s="50">
        <v>5909.3</v>
      </c>
      <c r="R27" s="50"/>
      <c r="S27" s="50"/>
      <c r="T27" s="53">
        <v>768.53689999999995</v>
      </c>
      <c r="U27" s="53">
        <v>10.444800000000001</v>
      </c>
      <c r="V27" s="54">
        <f t="shared" si="10"/>
        <v>778.98169999999993</v>
      </c>
      <c r="W27" s="55">
        <v>48</v>
      </c>
      <c r="X27" s="56"/>
      <c r="Y27" s="56">
        <v>47</v>
      </c>
      <c r="Z27" s="56"/>
      <c r="AA27" s="56"/>
      <c r="AB27" s="57">
        <f>(Y27+AA27)-W27</f>
        <v>-1</v>
      </c>
      <c r="AC27" s="86">
        <f t="shared" si="13"/>
        <v>47</v>
      </c>
      <c r="AD27" s="58">
        <f t="shared" si="12"/>
        <v>-1</v>
      </c>
    </row>
    <row r="28" spans="2:30" s="44" customFormat="1" ht="15.75" customHeight="1" x14ac:dyDescent="0.25">
      <c r="B28" s="83"/>
      <c r="C28" s="46" t="s">
        <v>45</v>
      </c>
      <c r="D28" s="47">
        <v>19.536999999999999</v>
      </c>
      <c r="E28" s="48">
        <v>3030.2</v>
      </c>
      <c r="F28" s="48">
        <f t="shared" si="7"/>
        <v>59201.017399999997</v>
      </c>
      <c r="G28" s="48">
        <v>59201</v>
      </c>
      <c r="H28" s="50"/>
      <c r="I28" s="50"/>
      <c r="J28" s="51"/>
      <c r="K28" s="51"/>
      <c r="L28" s="51"/>
      <c r="M28" s="51">
        <f t="shared" si="8"/>
        <v>59201</v>
      </c>
      <c r="N28" s="51">
        <f t="shared" si="9"/>
        <v>-1.7399999996996485E-2</v>
      </c>
      <c r="O28" s="51">
        <v>27220.7</v>
      </c>
      <c r="P28" s="50">
        <v>20990.3</v>
      </c>
      <c r="Q28" s="50">
        <v>6230.4</v>
      </c>
      <c r="R28" s="50">
        <v>284.2</v>
      </c>
      <c r="S28" s="50"/>
      <c r="T28" s="53">
        <v>775.85338000000002</v>
      </c>
      <c r="U28" s="53">
        <v>11.722200000000001</v>
      </c>
      <c r="V28" s="54">
        <f t="shared" si="10"/>
        <v>787.57558000000006</v>
      </c>
      <c r="W28" s="55">
        <v>57</v>
      </c>
      <c r="X28" s="56"/>
      <c r="Y28" s="56">
        <v>56</v>
      </c>
      <c r="Z28" s="56"/>
      <c r="AA28" s="56"/>
      <c r="AB28" s="57">
        <f t="shared" si="11"/>
        <v>-1</v>
      </c>
      <c r="AC28" s="86">
        <f t="shared" si="13"/>
        <v>56</v>
      </c>
      <c r="AD28" s="58">
        <f t="shared" si="12"/>
        <v>-1</v>
      </c>
    </row>
    <row r="29" spans="2:30" s="44" customFormat="1" ht="15.75" customHeight="1" x14ac:dyDescent="0.25">
      <c r="B29" s="83"/>
      <c r="C29" s="87" t="s">
        <v>46</v>
      </c>
      <c r="D29" s="47">
        <v>14.904999999999999</v>
      </c>
      <c r="E29" s="48">
        <v>3372.5</v>
      </c>
      <c r="F29" s="48">
        <f t="shared" si="7"/>
        <v>50267.112499999996</v>
      </c>
      <c r="G29" s="48">
        <v>48445</v>
      </c>
      <c r="H29" s="50"/>
      <c r="I29" s="50"/>
      <c r="J29" s="51"/>
      <c r="K29" s="51"/>
      <c r="L29" s="51">
        <v>-403.8</v>
      </c>
      <c r="M29" s="51">
        <f t="shared" si="8"/>
        <v>48041.2</v>
      </c>
      <c r="N29" s="51">
        <f t="shared" si="9"/>
        <v>-2225.9124999999985</v>
      </c>
      <c r="O29" s="51">
        <v>21868.9</v>
      </c>
      <c r="P29" s="50">
        <v>16829.900000000001</v>
      </c>
      <c r="Q29" s="50">
        <v>5039</v>
      </c>
      <c r="R29" s="50"/>
      <c r="S29" s="50"/>
      <c r="T29" s="53">
        <v>750.43381999999997</v>
      </c>
      <c r="U29" s="53">
        <v>8.9429999999999996</v>
      </c>
      <c r="V29" s="54">
        <f t="shared" si="10"/>
        <v>759.37681999999995</v>
      </c>
      <c r="W29" s="55">
        <v>64</v>
      </c>
      <c r="X29" s="56"/>
      <c r="Y29" s="56">
        <v>61</v>
      </c>
      <c r="Z29" s="56"/>
      <c r="AA29" s="56">
        <v>-0.5</v>
      </c>
      <c r="AB29" s="57">
        <f>(Y29+AA29)-W29</f>
        <v>-3.5</v>
      </c>
      <c r="AC29" s="90">
        <f>Y29+AA29</f>
        <v>60.5</v>
      </c>
      <c r="AD29" s="58">
        <f t="shared" si="12"/>
        <v>-3.5</v>
      </c>
    </row>
    <row r="30" spans="2:30" s="44" customFormat="1" ht="15.75" customHeight="1" x14ac:dyDescent="0.25">
      <c r="B30" s="83"/>
      <c r="C30" s="56" t="s">
        <v>47</v>
      </c>
      <c r="D30" s="47">
        <v>7.399</v>
      </c>
      <c r="E30" s="48">
        <v>7079</v>
      </c>
      <c r="F30" s="48">
        <f t="shared" si="7"/>
        <v>52377.521000000001</v>
      </c>
      <c r="G30" s="48">
        <v>47295.4</v>
      </c>
      <c r="H30" s="50"/>
      <c r="I30" s="50"/>
      <c r="J30" s="51"/>
      <c r="K30" s="51"/>
      <c r="L30" s="51">
        <v>-699.1</v>
      </c>
      <c r="M30" s="51">
        <f t="shared" si="8"/>
        <v>46596.3</v>
      </c>
      <c r="N30" s="51">
        <f t="shared" si="9"/>
        <v>-5781.2209999999977</v>
      </c>
      <c r="O30" s="51">
        <v>20323.5</v>
      </c>
      <c r="P30" s="50">
        <v>15828.6</v>
      </c>
      <c r="Q30" s="50">
        <v>4494.8999999999996</v>
      </c>
      <c r="R30" s="50"/>
      <c r="S30" s="50"/>
      <c r="T30" s="53">
        <v>700.66958</v>
      </c>
      <c r="U30" s="53">
        <v>4.4394</v>
      </c>
      <c r="V30" s="54">
        <f>U30+T30</f>
        <v>705.10897999999997</v>
      </c>
      <c r="W30" s="55">
        <v>41</v>
      </c>
      <c r="X30" s="56"/>
      <c r="Y30" s="56">
        <v>41</v>
      </c>
      <c r="Z30" s="56"/>
      <c r="AA30" s="56">
        <v>0</v>
      </c>
      <c r="AB30" s="57">
        <f t="shared" si="11"/>
        <v>0</v>
      </c>
      <c r="AC30" s="86">
        <f t="shared" si="13"/>
        <v>41</v>
      </c>
      <c r="AD30" s="58">
        <f t="shared" si="12"/>
        <v>0</v>
      </c>
    </row>
    <row r="31" spans="2:30" s="44" customFormat="1" ht="15.75" customHeight="1" x14ac:dyDescent="0.25">
      <c r="B31" s="83"/>
      <c r="C31" s="56" t="s">
        <v>48</v>
      </c>
      <c r="D31" s="47">
        <v>8.5180000000000007</v>
      </c>
      <c r="E31" s="48">
        <v>5332</v>
      </c>
      <c r="F31" s="48">
        <f t="shared" si="7"/>
        <v>45417.976000000002</v>
      </c>
      <c r="G31" s="48">
        <v>45264.800000000003</v>
      </c>
      <c r="H31" s="50"/>
      <c r="I31" s="50"/>
      <c r="J31" s="51"/>
      <c r="K31" s="51"/>
      <c r="L31" s="51"/>
      <c r="M31" s="51">
        <f t="shared" si="8"/>
        <v>45264.800000000003</v>
      </c>
      <c r="N31" s="51">
        <f t="shared" si="9"/>
        <v>-153.17599999999948</v>
      </c>
      <c r="O31" s="51">
        <v>18046</v>
      </c>
      <c r="P31" s="50">
        <v>13834.6</v>
      </c>
      <c r="Q31" s="50">
        <v>4211.3</v>
      </c>
      <c r="R31" s="50"/>
      <c r="S31" s="50"/>
      <c r="T31" s="53">
        <v>728.48438999999996</v>
      </c>
      <c r="U31" s="53">
        <v>5.1108000000000002</v>
      </c>
      <c r="V31" s="54">
        <f t="shared" ref="V31:V40" si="14">T31+U31</f>
        <v>733.59519</v>
      </c>
      <c r="W31" s="55">
        <v>42</v>
      </c>
      <c r="X31" s="56"/>
      <c r="Y31" s="56">
        <v>42</v>
      </c>
      <c r="Z31" s="56"/>
      <c r="AA31" s="56"/>
      <c r="AB31" s="57">
        <f t="shared" si="11"/>
        <v>0</v>
      </c>
      <c r="AC31" s="86">
        <f t="shared" si="13"/>
        <v>42</v>
      </c>
      <c r="AD31" s="58">
        <f t="shared" si="12"/>
        <v>0</v>
      </c>
    </row>
    <row r="32" spans="2:30" s="44" customFormat="1" ht="15.75" customHeight="1" x14ac:dyDescent="0.25">
      <c r="B32" s="83"/>
      <c r="C32" s="56" t="s">
        <v>49</v>
      </c>
      <c r="D32" s="47">
        <v>4.7439999999999998</v>
      </c>
      <c r="E32" s="48">
        <v>8712.7000000000007</v>
      </c>
      <c r="F32" s="48">
        <f t="shared" si="7"/>
        <v>41333.048800000004</v>
      </c>
      <c r="G32" s="48">
        <v>41333</v>
      </c>
      <c r="H32" s="50"/>
      <c r="I32" s="50"/>
      <c r="J32" s="51"/>
      <c r="K32" s="51"/>
      <c r="L32" s="51">
        <v>-30</v>
      </c>
      <c r="M32" s="51">
        <f t="shared" si="8"/>
        <v>41303</v>
      </c>
      <c r="N32" s="51">
        <f t="shared" si="9"/>
        <v>-30.048800000004121</v>
      </c>
      <c r="O32" s="51">
        <v>14444.6</v>
      </c>
      <c r="P32" s="50">
        <v>11094.4</v>
      </c>
      <c r="Q32" s="50">
        <v>3350.1</v>
      </c>
      <c r="R32" s="50">
        <f>-34.6</f>
        <v>-34.6</v>
      </c>
      <c r="S32" s="50"/>
      <c r="T32" s="53">
        <v>691.54546000000005</v>
      </c>
      <c r="U32" s="53">
        <v>2.8464</v>
      </c>
      <c r="V32" s="54">
        <f t="shared" si="14"/>
        <v>694.39186000000007</v>
      </c>
      <c r="W32" s="55">
        <v>28</v>
      </c>
      <c r="X32" s="56"/>
      <c r="Y32" s="56">
        <v>27</v>
      </c>
      <c r="Z32" s="56"/>
      <c r="AA32" s="56"/>
      <c r="AB32" s="57">
        <f t="shared" si="11"/>
        <v>-1</v>
      </c>
      <c r="AC32" s="86">
        <f t="shared" si="13"/>
        <v>27</v>
      </c>
      <c r="AD32" s="58">
        <f t="shared" si="12"/>
        <v>-1</v>
      </c>
    </row>
    <row r="33" spans="1:30" s="44" customFormat="1" ht="15.75" customHeight="1" x14ac:dyDescent="0.25">
      <c r="B33" s="83"/>
      <c r="C33" s="56" t="s">
        <v>50</v>
      </c>
      <c r="D33" s="47">
        <v>21.588999999999999</v>
      </c>
      <c r="E33" s="48">
        <v>3105.3</v>
      </c>
      <c r="F33" s="48">
        <f t="shared" si="7"/>
        <v>67040.3217</v>
      </c>
      <c r="G33" s="48">
        <v>68102.5</v>
      </c>
      <c r="H33" s="50"/>
      <c r="I33" s="50"/>
      <c r="J33" s="51"/>
      <c r="K33" s="51"/>
      <c r="L33" s="51">
        <v>-1070.3</v>
      </c>
      <c r="M33" s="51">
        <f t="shared" si="8"/>
        <v>67032.2</v>
      </c>
      <c r="N33" s="51">
        <f t="shared" si="9"/>
        <v>-8.1217000000033295</v>
      </c>
      <c r="O33" s="51">
        <v>34589.199999999997</v>
      </c>
      <c r="P33" s="50">
        <v>26698.799999999999</v>
      </c>
      <c r="Q33" s="50">
        <v>7890.4</v>
      </c>
      <c r="R33" s="50">
        <v>-858.3</v>
      </c>
      <c r="S33" s="50"/>
      <c r="T33" s="53">
        <v>782.90525000000002</v>
      </c>
      <c r="U33" s="53">
        <v>10.794499999999999</v>
      </c>
      <c r="V33" s="54">
        <f t="shared" si="14"/>
        <v>793.69974999999999</v>
      </c>
      <c r="W33" s="55">
        <v>69</v>
      </c>
      <c r="X33" s="56"/>
      <c r="Y33" s="56">
        <v>60.5</v>
      </c>
      <c r="Z33" s="56"/>
      <c r="AA33" s="56">
        <v>-0.63</v>
      </c>
      <c r="AB33" s="57">
        <f>(Y33+AA33)-W33</f>
        <v>-9.1300000000000026</v>
      </c>
      <c r="AC33" s="86">
        <f>Y33+AA33</f>
        <v>59.87</v>
      </c>
      <c r="AD33" s="58">
        <v>-9</v>
      </c>
    </row>
    <row r="34" spans="1:30" s="44" customFormat="1" ht="15.75" customHeight="1" x14ac:dyDescent="0.25">
      <c r="B34" s="83"/>
      <c r="C34" s="56" t="s">
        <v>51</v>
      </c>
      <c r="D34" s="47">
        <v>10.538</v>
      </c>
      <c r="E34" s="48">
        <v>5643.8</v>
      </c>
      <c r="F34" s="48">
        <f t="shared" si="7"/>
        <v>59474.364400000006</v>
      </c>
      <c r="G34" s="48">
        <v>54723.5</v>
      </c>
      <c r="H34" s="50"/>
      <c r="I34" s="50"/>
      <c r="J34" s="51"/>
      <c r="K34" s="51"/>
      <c r="L34" s="51">
        <v>0</v>
      </c>
      <c r="M34" s="51">
        <f t="shared" si="8"/>
        <v>54723.5</v>
      </c>
      <c r="N34" s="51">
        <f t="shared" si="9"/>
        <v>-4750.8644000000058</v>
      </c>
      <c r="O34" s="51">
        <v>20879.900000000001</v>
      </c>
      <c r="P34" s="50">
        <v>16109.3</v>
      </c>
      <c r="Q34" s="50">
        <v>4770.5</v>
      </c>
      <c r="R34" s="50"/>
      <c r="S34" s="50"/>
      <c r="T34" s="53">
        <v>735.42628000000002</v>
      </c>
      <c r="U34" s="53">
        <v>6.3228</v>
      </c>
      <c r="V34" s="54">
        <f t="shared" si="14"/>
        <v>741.74908000000005</v>
      </c>
      <c r="W34" s="55">
        <v>47</v>
      </c>
      <c r="X34" s="56"/>
      <c r="Y34" s="56">
        <v>45</v>
      </c>
      <c r="Z34" s="56"/>
      <c r="AA34" s="56"/>
      <c r="AB34" s="57">
        <f>(Y34+AA34)-W34</f>
        <v>-2</v>
      </c>
      <c r="AC34" s="86">
        <f t="shared" si="13"/>
        <v>45</v>
      </c>
      <c r="AD34" s="58">
        <f t="shared" si="12"/>
        <v>-2</v>
      </c>
    </row>
    <row r="35" spans="1:30" s="44" customFormat="1" ht="15.75" customHeight="1" x14ac:dyDescent="0.25">
      <c r="B35" s="83"/>
      <c r="C35" s="56" t="s">
        <v>52</v>
      </c>
      <c r="D35" s="47">
        <v>29.806999999999999</v>
      </c>
      <c r="E35" s="48">
        <v>3125.9</v>
      </c>
      <c r="F35" s="48">
        <f t="shared" si="7"/>
        <v>93173.701300000001</v>
      </c>
      <c r="G35" s="48">
        <v>85740</v>
      </c>
      <c r="H35" s="50"/>
      <c r="I35" s="50"/>
      <c r="J35" s="51"/>
      <c r="K35" s="51"/>
      <c r="L35" s="51"/>
      <c r="M35" s="51">
        <f t="shared" si="8"/>
        <v>85740</v>
      </c>
      <c r="N35" s="51">
        <f t="shared" si="9"/>
        <v>-7433.7013000000006</v>
      </c>
      <c r="O35" s="51">
        <v>35178.5</v>
      </c>
      <c r="P35" s="50">
        <v>27079.200000000001</v>
      </c>
      <c r="Q35" s="50">
        <v>8099.4</v>
      </c>
      <c r="R35" s="50">
        <v>-600</v>
      </c>
      <c r="S35" s="50"/>
      <c r="T35" s="53">
        <v>1616.1689699999999</v>
      </c>
      <c r="U35" s="53">
        <v>14.903499999999999</v>
      </c>
      <c r="V35" s="54">
        <f>T35+U35</f>
        <v>1631.0724699999998</v>
      </c>
      <c r="W35" s="55">
        <v>73</v>
      </c>
      <c r="X35" s="56"/>
      <c r="Y35" s="56">
        <v>65</v>
      </c>
      <c r="Z35" s="56"/>
      <c r="AA35" s="56"/>
      <c r="AB35" s="57">
        <f t="shared" si="11"/>
        <v>-8</v>
      </c>
      <c r="AC35" s="86">
        <f t="shared" si="13"/>
        <v>65</v>
      </c>
      <c r="AD35" s="58">
        <f t="shared" si="12"/>
        <v>-8</v>
      </c>
    </row>
    <row r="36" spans="1:30" s="44" customFormat="1" ht="15.75" customHeight="1" x14ac:dyDescent="0.25">
      <c r="B36" s="83"/>
      <c r="C36" s="56" t="s">
        <v>53</v>
      </c>
      <c r="D36" s="47">
        <v>9.7189999999999994</v>
      </c>
      <c r="E36" s="48">
        <v>5657.7</v>
      </c>
      <c r="F36" s="48">
        <f t="shared" si="7"/>
        <v>54987.186299999994</v>
      </c>
      <c r="G36" s="48">
        <v>53912.800000000003</v>
      </c>
      <c r="H36" s="50"/>
      <c r="I36" s="50"/>
      <c r="J36" s="51"/>
      <c r="K36" s="51"/>
      <c r="L36" s="51">
        <v>0</v>
      </c>
      <c r="M36" s="51">
        <f t="shared" si="8"/>
        <v>53912.800000000003</v>
      </c>
      <c r="N36" s="51">
        <f t="shared" si="9"/>
        <v>-1074.386299999991</v>
      </c>
      <c r="O36" s="51">
        <v>19304.099999999999</v>
      </c>
      <c r="P36" s="50">
        <v>14852.5</v>
      </c>
      <c r="Q36" s="50">
        <v>4451.6000000000004</v>
      </c>
      <c r="R36" s="50"/>
      <c r="S36" s="50"/>
      <c r="T36" s="53">
        <v>732.61171999999999</v>
      </c>
      <c r="U36" s="53">
        <v>5.8314000000000004</v>
      </c>
      <c r="V36" s="54">
        <f t="shared" si="14"/>
        <v>738.44312000000002</v>
      </c>
      <c r="W36" s="55">
        <v>45</v>
      </c>
      <c r="X36" s="91"/>
      <c r="Y36" s="86">
        <v>45</v>
      </c>
      <c r="Z36" s="91"/>
      <c r="AA36" s="91"/>
      <c r="AB36" s="57">
        <f t="shared" si="11"/>
        <v>0</v>
      </c>
      <c r="AC36" s="86">
        <f t="shared" si="13"/>
        <v>45</v>
      </c>
      <c r="AD36" s="58">
        <f t="shared" si="12"/>
        <v>0</v>
      </c>
    </row>
    <row r="37" spans="1:30" s="44" customFormat="1" ht="15.75" customHeight="1" x14ac:dyDescent="0.25">
      <c r="B37" s="83"/>
      <c r="C37" s="92" t="s">
        <v>54</v>
      </c>
      <c r="D37" s="47">
        <v>9.9879999999999995</v>
      </c>
      <c r="E37" s="48">
        <v>4209.5</v>
      </c>
      <c r="F37" s="48">
        <f t="shared" si="7"/>
        <v>42044.485999999997</v>
      </c>
      <c r="G37" s="48">
        <v>41795</v>
      </c>
      <c r="H37" s="50"/>
      <c r="I37" s="50"/>
      <c r="J37" s="51"/>
      <c r="K37" s="51"/>
      <c r="L37" s="51">
        <v>-98.3</v>
      </c>
      <c r="M37" s="51">
        <f t="shared" si="8"/>
        <v>41696.699999999997</v>
      </c>
      <c r="N37" s="51">
        <f t="shared" si="9"/>
        <v>-347.78600000000006</v>
      </c>
      <c r="O37" s="51">
        <v>19444.900000000001</v>
      </c>
      <c r="P37" s="50">
        <v>15062.2</v>
      </c>
      <c r="Q37" s="50">
        <v>4382.7</v>
      </c>
      <c r="R37" s="50">
        <v>-10</v>
      </c>
      <c r="S37" s="50"/>
      <c r="T37" s="53">
        <v>733.53616</v>
      </c>
      <c r="U37" s="53">
        <v>5.9927999999999999</v>
      </c>
      <c r="V37" s="54">
        <f t="shared" si="14"/>
        <v>739.52895999999998</v>
      </c>
      <c r="W37" s="55">
        <v>38</v>
      </c>
      <c r="X37" s="56"/>
      <c r="Y37" s="56">
        <v>38</v>
      </c>
      <c r="Z37" s="56"/>
      <c r="AA37" s="56">
        <v>-0.1</v>
      </c>
      <c r="AB37" s="57">
        <f>(Y37+AA37)-W37</f>
        <v>-0.10000000000000142</v>
      </c>
      <c r="AC37" s="86">
        <f>Y37+AA37</f>
        <v>37.9</v>
      </c>
      <c r="AD37" s="58">
        <v>0</v>
      </c>
    </row>
    <row r="38" spans="1:30" s="44" customFormat="1" ht="15.75" customHeight="1" x14ac:dyDescent="0.25">
      <c r="B38" s="83"/>
      <c r="C38" s="46" t="s">
        <v>55</v>
      </c>
      <c r="D38" s="47">
        <v>19.184000000000001</v>
      </c>
      <c r="E38" s="48">
        <v>3175.4</v>
      </c>
      <c r="F38" s="48">
        <f t="shared" si="7"/>
        <v>60916.873600000006</v>
      </c>
      <c r="G38" s="48">
        <v>59648.1</v>
      </c>
      <c r="H38" s="50"/>
      <c r="I38" s="50"/>
      <c r="J38" s="51"/>
      <c r="K38" s="51"/>
      <c r="L38" s="51">
        <v>-617.79999999999995</v>
      </c>
      <c r="M38" s="51">
        <f t="shared" si="8"/>
        <v>59030.299999999996</v>
      </c>
      <c r="N38" s="51">
        <f t="shared" si="9"/>
        <v>-1886.5736000000106</v>
      </c>
      <c r="O38" s="51">
        <v>25413.4</v>
      </c>
      <c r="P38" s="50">
        <v>19398.2</v>
      </c>
      <c r="Q38" s="50">
        <v>6015.1</v>
      </c>
      <c r="R38" s="50"/>
      <c r="S38" s="50"/>
      <c r="T38" s="53">
        <v>774.64026999999999</v>
      </c>
      <c r="U38" s="53">
        <v>11.510400000000001</v>
      </c>
      <c r="V38" s="54">
        <f t="shared" si="14"/>
        <v>786.15066999999999</v>
      </c>
      <c r="W38" s="55">
        <v>48</v>
      </c>
      <c r="X38" s="56"/>
      <c r="Y38" s="56">
        <v>48</v>
      </c>
      <c r="Z38" s="56"/>
      <c r="AA38" s="56"/>
      <c r="AB38" s="57">
        <f t="shared" si="11"/>
        <v>0</v>
      </c>
      <c r="AC38" s="86">
        <f t="shared" si="13"/>
        <v>48</v>
      </c>
      <c r="AD38" s="58">
        <f t="shared" si="12"/>
        <v>0</v>
      </c>
    </row>
    <row r="39" spans="1:30" s="44" customFormat="1" ht="15.75" customHeight="1" x14ac:dyDescent="0.25">
      <c r="B39" s="83"/>
      <c r="C39" s="56" t="s">
        <v>56</v>
      </c>
      <c r="D39" s="47">
        <v>19.100000000000001</v>
      </c>
      <c r="E39" s="48">
        <v>4170.6000000000004</v>
      </c>
      <c r="F39" s="48">
        <f t="shared" si="7"/>
        <v>79658.460000000006</v>
      </c>
      <c r="G39" s="48">
        <v>80048.7</v>
      </c>
      <c r="H39" s="50"/>
      <c r="I39" s="50"/>
      <c r="J39" s="51"/>
      <c r="K39" s="51"/>
      <c r="L39" s="51">
        <v>-662.4</v>
      </c>
      <c r="M39" s="51">
        <f t="shared" si="8"/>
        <v>79386.3</v>
      </c>
      <c r="N39" s="51">
        <f t="shared" si="9"/>
        <v>-272.16000000000349</v>
      </c>
      <c r="O39" s="51">
        <v>28301.9</v>
      </c>
      <c r="P39" s="50">
        <v>21737.599999999999</v>
      </c>
      <c r="Q39" s="50">
        <v>6564.3</v>
      </c>
      <c r="R39" s="50"/>
      <c r="S39" s="50"/>
      <c r="T39" s="53">
        <v>774.35159999999996</v>
      </c>
      <c r="U39" s="53">
        <v>11.46</v>
      </c>
      <c r="V39" s="54">
        <f t="shared" si="14"/>
        <v>785.8116</v>
      </c>
      <c r="W39" s="55">
        <v>63</v>
      </c>
      <c r="X39" s="91"/>
      <c r="Y39" s="90">
        <v>63.5</v>
      </c>
      <c r="Z39" s="91"/>
      <c r="AA39" s="91">
        <v>-0.5</v>
      </c>
      <c r="AB39" s="57">
        <f t="shared" si="11"/>
        <v>0</v>
      </c>
      <c r="AC39" s="86">
        <f t="shared" si="13"/>
        <v>63</v>
      </c>
      <c r="AD39" s="58">
        <f t="shared" si="12"/>
        <v>0</v>
      </c>
    </row>
    <row r="40" spans="1:30" s="44" customFormat="1" ht="15.75" customHeight="1" thickBot="1" x14ac:dyDescent="0.3">
      <c r="B40" s="59"/>
      <c r="C40" s="93" t="s">
        <v>57</v>
      </c>
      <c r="D40" s="61">
        <v>11.464</v>
      </c>
      <c r="E40" s="62">
        <v>4229.8</v>
      </c>
      <c r="F40" s="62">
        <f t="shared" si="7"/>
        <v>48490.427200000006</v>
      </c>
      <c r="G40" s="62">
        <v>47753.9</v>
      </c>
      <c r="H40" s="63"/>
      <c r="I40" s="63"/>
      <c r="J40" s="64"/>
      <c r="K40" s="64"/>
      <c r="L40" s="64">
        <f>1051.8-555</f>
        <v>496.79999999999995</v>
      </c>
      <c r="M40" s="64">
        <f t="shared" si="8"/>
        <v>48250.700000000004</v>
      </c>
      <c r="N40" s="64">
        <f t="shared" si="9"/>
        <v>-239.72720000000118</v>
      </c>
      <c r="O40" s="64">
        <v>18978.7</v>
      </c>
      <c r="P40" s="63">
        <v>14535.6</v>
      </c>
      <c r="Q40" s="63">
        <v>4443.1000000000004</v>
      </c>
      <c r="R40" s="62">
        <v>231.4</v>
      </c>
      <c r="S40" s="63"/>
      <c r="T40" s="66">
        <v>738.60855000000004</v>
      </c>
      <c r="U40" s="66">
        <v>6.8784000000000001</v>
      </c>
      <c r="V40" s="67">
        <f t="shared" si="14"/>
        <v>745.48695000000009</v>
      </c>
      <c r="W40" s="68">
        <v>54</v>
      </c>
      <c r="X40" s="69"/>
      <c r="Y40" s="69">
        <v>43</v>
      </c>
      <c r="Z40" s="69"/>
      <c r="AA40" s="69">
        <v>1</v>
      </c>
      <c r="AB40" s="70">
        <f t="shared" si="11"/>
        <v>-10</v>
      </c>
      <c r="AC40" s="94">
        <f>Y40+AA40</f>
        <v>44</v>
      </c>
      <c r="AD40" s="71">
        <f t="shared" si="12"/>
        <v>-10</v>
      </c>
    </row>
    <row r="41" spans="1:30" ht="36" customHeight="1" thickBot="1" x14ac:dyDescent="0.3">
      <c r="A41" s="95"/>
      <c r="B41" s="96"/>
      <c r="C41" s="97" t="s">
        <v>58</v>
      </c>
      <c r="D41" s="98"/>
      <c r="E41" s="99"/>
      <c r="F41" s="99"/>
      <c r="G41" s="100"/>
      <c r="H41" s="101"/>
      <c r="I41" s="101"/>
      <c r="J41" s="102"/>
      <c r="K41" s="102"/>
      <c r="L41" s="102"/>
      <c r="M41" s="102"/>
      <c r="N41" s="102"/>
      <c r="O41" s="101"/>
      <c r="P41" s="101"/>
      <c r="Q41" s="101"/>
      <c r="R41" s="101"/>
      <c r="S41" s="103"/>
      <c r="T41" s="104">
        <f>SUM(T11:T40)</f>
        <v>38937.319290000007</v>
      </c>
      <c r="U41" s="104">
        <f>SUM(U11:U40)</f>
        <v>370.88244999999995</v>
      </c>
      <c r="V41" s="105"/>
      <c r="W41" s="106"/>
      <c r="X41" s="107"/>
      <c r="Y41" s="107"/>
      <c r="Z41" s="107"/>
      <c r="AA41" s="107"/>
      <c r="AB41" s="107"/>
      <c r="AC41" s="107"/>
      <c r="AD41" s="101"/>
    </row>
    <row r="42" spans="1:30" ht="15" customHeight="1" x14ac:dyDescent="0.25">
      <c r="A42" s="95"/>
      <c r="B42" s="108" t="s">
        <v>37</v>
      </c>
      <c r="C42" s="39" t="s">
        <v>59</v>
      </c>
      <c r="D42" s="73">
        <v>28.925999999999998</v>
      </c>
      <c r="E42" s="74">
        <v>71.2</v>
      </c>
      <c r="F42" s="74">
        <f t="shared" ref="F42:F47" si="15">E42*D42</f>
        <v>2059.5311999999999</v>
      </c>
      <c r="G42" s="109"/>
      <c r="H42" s="110"/>
      <c r="I42" s="110"/>
      <c r="J42" s="76"/>
      <c r="K42" s="76"/>
      <c r="L42" s="76">
        <v>0.1</v>
      </c>
      <c r="M42" s="76">
        <f t="shared" ref="M42:M47" si="16">G42+L42</f>
        <v>0.1</v>
      </c>
      <c r="N42" s="76">
        <f t="shared" ref="N42:N47" si="17">M42-F42</f>
        <v>-2059.4312</v>
      </c>
      <c r="O42" s="76"/>
      <c r="P42" s="110"/>
      <c r="Q42" s="110"/>
      <c r="R42" s="110"/>
      <c r="S42" s="77"/>
      <c r="T42" s="110"/>
      <c r="U42" s="110"/>
      <c r="V42" s="111">
        <f t="shared" ref="V42:V47" si="18">T42+U42</f>
        <v>0</v>
      </c>
      <c r="W42" s="80">
        <v>2</v>
      </c>
      <c r="X42" s="39"/>
      <c r="Y42" s="39">
        <v>0</v>
      </c>
      <c r="Z42" s="39"/>
      <c r="AA42" s="39"/>
      <c r="AB42" s="81">
        <f t="shared" ref="AB42:AB47" si="19">(Y42+AA42)-W42</f>
        <v>-2</v>
      </c>
      <c r="AC42" s="112">
        <f t="shared" si="5"/>
        <v>0</v>
      </c>
      <c r="AD42" s="82">
        <f t="shared" si="6"/>
        <v>-2</v>
      </c>
    </row>
    <row r="43" spans="1:30" ht="15" customHeight="1" x14ac:dyDescent="0.25">
      <c r="A43" s="95"/>
      <c r="B43" s="113"/>
      <c r="C43" s="85" t="s">
        <v>60</v>
      </c>
      <c r="D43" s="47">
        <v>0.83299999999999996</v>
      </c>
      <c r="E43" s="48">
        <v>4588.6000000000004</v>
      </c>
      <c r="F43" s="48">
        <f t="shared" si="15"/>
        <v>3822.3038000000001</v>
      </c>
      <c r="G43" s="114">
        <v>2947.3</v>
      </c>
      <c r="H43" s="115"/>
      <c r="I43" s="115"/>
      <c r="J43" s="51"/>
      <c r="K43" s="51"/>
      <c r="L43" s="51">
        <v>0.6</v>
      </c>
      <c r="M43" s="51">
        <f t="shared" si="16"/>
        <v>2947.9</v>
      </c>
      <c r="N43" s="51">
        <f t="shared" si="17"/>
        <v>-874.40380000000005</v>
      </c>
      <c r="O43" s="51">
        <v>699.7</v>
      </c>
      <c r="P43" s="85">
        <v>537.4</v>
      </c>
      <c r="Q43" s="85">
        <v>162.30000000000001</v>
      </c>
      <c r="R43" s="85"/>
      <c r="S43" s="52">
        <f>O43+R43</f>
        <v>699.7</v>
      </c>
      <c r="T43" s="85"/>
      <c r="U43" s="85"/>
      <c r="V43" s="116">
        <f t="shared" si="18"/>
        <v>0</v>
      </c>
      <c r="W43" s="55">
        <v>4</v>
      </c>
      <c r="X43" s="56"/>
      <c r="Y43" s="56">
        <v>2</v>
      </c>
      <c r="Z43" s="56"/>
      <c r="AA43" s="56"/>
      <c r="AB43" s="57">
        <f t="shared" si="19"/>
        <v>-2</v>
      </c>
      <c r="AC43" s="90">
        <f t="shared" si="5"/>
        <v>2</v>
      </c>
      <c r="AD43" s="58">
        <f t="shared" si="6"/>
        <v>-2</v>
      </c>
    </row>
    <row r="44" spans="1:30" ht="15" customHeight="1" x14ac:dyDescent="0.25">
      <c r="A44" s="95"/>
      <c r="B44" s="113"/>
      <c r="C44" s="85" t="s">
        <v>61</v>
      </c>
      <c r="D44" s="47">
        <v>1.4470000000000001</v>
      </c>
      <c r="E44" s="48">
        <v>3379</v>
      </c>
      <c r="F44" s="48">
        <f t="shared" si="15"/>
        <v>4889.4130000000005</v>
      </c>
      <c r="G44" s="117">
        <v>4877.8</v>
      </c>
      <c r="H44" s="85"/>
      <c r="I44" s="85"/>
      <c r="J44" s="51"/>
      <c r="K44" s="51"/>
      <c r="L44" s="51">
        <v>0.6</v>
      </c>
      <c r="M44" s="51">
        <f t="shared" si="16"/>
        <v>4878.4000000000005</v>
      </c>
      <c r="N44" s="51">
        <f t="shared" si="17"/>
        <v>-11.01299999999992</v>
      </c>
      <c r="O44" s="51">
        <v>643.20000000000005</v>
      </c>
      <c r="P44" s="85">
        <v>494.9</v>
      </c>
      <c r="Q44" s="85">
        <v>148.30000000000001</v>
      </c>
      <c r="R44" s="85"/>
      <c r="S44" s="52">
        <f t="shared" ref="S44:S47" si="20">O44+R44</f>
        <v>643.20000000000005</v>
      </c>
      <c r="T44" s="85"/>
      <c r="U44" s="85"/>
      <c r="V44" s="116">
        <f t="shared" si="18"/>
        <v>0</v>
      </c>
      <c r="W44" s="55">
        <v>4</v>
      </c>
      <c r="X44" s="56"/>
      <c r="Y44" s="56">
        <v>2</v>
      </c>
      <c r="Z44" s="56"/>
      <c r="AA44" s="56"/>
      <c r="AB44" s="57">
        <f t="shared" si="19"/>
        <v>-2</v>
      </c>
      <c r="AC44" s="90">
        <f t="shared" si="5"/>
        <v>2</v>
      </c>
      <c r="AD44" s="58">
        <f t="shared" si="6"/>
        <v>-2</v>
      </c>
    </row>
    <row r="45" spans="1:30" ht="15" customHeight="1" x14ac:dyDescent="0.25">
      <c r="A45" s="95"/>
      <c r="B45" s="113"/>
      <c r="C45" s="85" t="s">
        <v>62</v>
      </c>
      <c r="D45" s="47">
        <v>0.80100000000000005</v>
      </c>
      <c r="E45" s="48">
        <v>3278.8</v>
      </c>
      <c r="F45" s="48">
        <f t="shared" si="15"/>
        <v>2626.3188000000005</v>
      </c>
      <c r="G45" s="117">
        <v>2466.9</v>
      </c>
      <c r="H45" s="85"/>
      <c r="I45" s="85"/>
      <c r="J45" s="51"/>
      <c r="K45" s="51"/>
      <c r="L45" s="51">
        <v>0.6</v>
      </c>
      <c r="M45" s="51">
        <f t="shared" si="16"/>
        <v>2467.5</v>
      </c>
      <c r="N45" s="51">
        <f t="shared" si="17"/>
        <v>-158.81880000000046</v>
      </c>
      <c r="O45" s="51">
        <v>1015.9</v>
      </c>
      <c r="P45" s="85">
        <v>780.2</v>
      </c>
      <c r="Q45" s="85">
        <v>235.6</v>
      </c>
      <c r="R45" s="85"/>
      <c r="S45" s="52">
        <f t="shared" si="20"/>
        <v>1015.9</v>
      </c>
      <c r="T45" s="85"/>
      <c r="U45" s="85"/>
      <c r="V45" s="116">
        <f t="shared" si="18"/>
        <v>0</v>
      </c>
      <c r="W45" s="55">
        <v>4</v>
      </c>
      <c r="X45" s="56"/>
      <c r="Y45" s="56">
        <v>2</v>
      </c>
      <c r="Z45" s="56"/>
      <c r="AA45" s="56"/>
      <c r="AB45" s="57">
        <f t="shared" si="19"/>
        <v>-2</v>
      </c>
      <c r="AC45" s="90">
        <f t="shared" si="5"/>
        <v>2</v>
      </c>
      <c r="AD45" s="58">
        <f t="shared" si="6"/>
        <v>-2</v>
      </c>
    </row>
    <row r="46" spans="1:30" ht="15" customHeight="1" x14ac:dyDescent="0.25">
      <c r="A46" s="95"/>
      <c r="B46" s="113"/>
      <c r="C46" s="85" t="s">
        <v>63</v>
      </c>
      <c r="D46" s="47">
        <v>0.88100000000000001</v>
      </c>
      <c r="E46" s="48">
        <v>5507.6</v>
      </c>
      <c r="F46" s="48">
        <f t="shared" si="15"/>
        <v>4852.1956</v>
      </c>
      <c r="G46" s="117">
        <v>4132.8</v>
      </c>
      <c r="H46" s="85"/>
      <c r="I46" s="85"/>
      <c r="J46" s="51"/>
      <c r="K46" s="51"/>
      <c r="L46" s="51">
        <v>0.6</v>
      </c>
      <c r="M46" s="51">
        <f t="shared" si="16"/>
        <v>4133.4000000000005</v>
      </c>
      <c r="N46" s="51">
        <f t="shared" si="17"/>
        <v>-718.79559999999947</v>
      </c>
      <c r="O46" s="51">
        <v>1033.3</v>
      </c>
      <c r="P46" s="85">
        <v>793.7</v>
      </c>
      <c r="Q46" s="85">
        <v>239.7</v>
      </c>
      <c r="R46" s="85"/>
      <c r="S46" s="52">
        <f t="shared" si="20"/>
        <v>1033.3</v>
      </c>
      <c r="T46" s="85"/>
      <c r="U46" s="85"/>
      <c r="V46" s="116">
        <f t="shared" si="18"/>
        <v>0</v>
      </c>
      <c r="W46" s="55">
        <v>4</v>
      </c>
      <c r="X46" s="56"/>
      <c r="Y46" s="56">
        <v>1.25</v>
      </c>
      <c r="Z46" s="56"/>
      <c r="AA46" s="56"/>
      <c r="AB46" s="57">
        <f t="shared" si="19"/>
        <v>-2.75</v>
      </c>
      <c r="AC46" s="90">
        <f t="shared" si="5"/>
        <v>1.25</v>
      </c>
      <c r="AD46" s="58">
        <f t="shared" si="6"/>
        <v>-2.75</v>
      </c>
    </row>
    <row r="47" spans="1:30" ht="15" customHeight="1" x14ac:dyDescent="0.25">
      <c r="A47" s="95"/>
      <c r="B47" s="113"/>
      <c r="C47" s="85" t="s">
        <v>64</v>
      </c>
      <c r="D47" s="47">
        <v>0.74199999999999999</v>
      </c>
      <c r="E47" s="48">
        <v>4166.8</v>
      </c>
      <c r="F47" s="48">
        <f t="shared" si="15"/>
        <v>3091.7656000000002</v>
      </c>
      <c r="G47" s="117">
        <v>3090.6</v>
      </c>
      <c r="H47" s="85"/>
      <c r="I47" s="85"/>
      <c r="J47" s="51"/>
      <c r="K47" s="51"/>
      <c r="L47" s="51">
        <v>0.6</v>
      </c>
      <c r="M47" s="51">
        <f t="shared" si="16"/>
        <v>3091.2</v>
      </c>
      <c r="N47" s="51">
        <f t="shared" si="17"/>
        <v>-0.5656000000003587</v>
      </c>
      <c r="O47" s="51">
        <v>576.9</v>
      </c>
      <c r="P47" s="85">
        <v>443.1</v>
      </c>
      <c r="Q47" s="85">
        <v>133.80000000000001</v>
      </c>
      <c r="R47" s="85"/>
      <c r="S47" s="52">
        <f t="shared" si="20"/>
        <v>576.9</v>
      </c>
      <c r="T47" s="85"/>
      <c r="U47" s="85"/>
      <c r="V47" s="116">
        <f t="shared" si="18"/>
        <v>0</v>
      </c>
      <c r="W47" s="55">
        <v>4</v>
      </c>
      <c r="X47" s="56"/>
      <c r="Y47" s="56">
        <v>2.25</v>
      </c>
      <c r="Z47" s="56"/>
      <c r="AA47" s="56"/>
      <c r="AB47" s="57">
        <f t="shared" si="19"/>
        <v>-1.75</v>
      </c>
      <c r="AC47" s="90">
        <f t="shared" si="5"/>
        <v>2.25</v>
      </c>
      <c r="AD47" s="58">
        <f t="shared" si="6"/>
        <v>-1.75</v>
      </c>
    </row>
    <row r="48" spans="1:30" ht="15" customHeight="1" thickBot="1" x14ac:dyDescent="0.3">
      <c r="A48" s="95"/>
      <c r="B48" s="118"/>
      <c r="C48" s="69" t="s">
        <v>65</v>
      </c>
      <c r="D48" s="119"/>
      <c r="E48" s="62"/>
      <c r="F48" s="62"/>
      <c r="G48" s="120">
        <f t="shared" ref="G48:K48" si="21">ROUND(SUM(G42:G47),3)</f>
        <v>17515.400000000001</v>
      </c>
      <c r="H48" s="120">
        <f t="shared" si="21"/>
        <v>0</v>
      </c>
      <c r="I48" s="120">
        <f t="shared" si="21"/>
        <v>0</v>
      </c>
      <c r="J48" s="120">
        <f t="shared" si="21"/>
        <v>0</v>
      </c>
      <c r="K48" s="120">
        <f t="shared" si="21"/>
        <v>0</v>
      </c>
      <c r="L48" s="120">
        <f t="shared" ref="L48:V48" si="22">ROUND(SUM(L42:L47),3)</f>
        <v>3.1</v>
      </c>
      <c r="M48" s="120">
        <f t="shared" si="22"/>
        <v>17518.5</v>
      </c>
      <c r="N48" s="120"/>
      <c r="O48" s="120">
        <f>ROUND(SUM(O42:O47),3)</f>
        <v>3969</v>
      </c>
      <c r="P48" s="120">
        <f t="shared" ref="P48:S48" si="23">ROUND(SUM(P42:P47),3)</f>
        <v>3049.3</v>
      </c>
      <c r="Q48" s="120">
        <f t="shared" si="23"/>
        <v>919.7</v>
      </c>
      <c r="R48" s="120">
        <f t="shared" si="23"/>
        <v>0</v>
      </c>
      <c r="S48" s="120">
        <f t="shared" si="23"/>
        <v>3969</v>
      </c>
      <c r="T48" s="120">
        <f t="shared" si="22"/>
        <v>0</v>
      </c>
      <c r="U48" s="120">
        <f t="shared" si="22"/>
        <v>0</v>
      </c>
      <c r="V48" s="121">
        <f t="shared" si="22"/>
        <v>0</v>
      </c>
      <c r="W48" s="122"/>
      <c r="X48" s="122">
        <f t="shared" ref="X48:AB48" si="24">ROUND(SUM(X42:X47),3)</f>
        <v>0</v>
      </c>
      <c r="Y48" s="120">
        <f t="shared" si="24"/>
        <v>9.5</v>
      </c>
      <c r="Z48" s="122">
        <f t="shared" si="24"/>
        <v>0</v>
      </c>
      <c r="AA48" s="122">
        <f t="shared" si="24"/>
        <v>0</v>
      </c>
      <c r="AB48" s="122">
        <f t="shared" si="24"/>
        <v>-12.5</v>
      </c>
      <c r="AC48" s="123">
        <f>Y48+AA48</f>
        <v>9.5</v>
      </c>
      <c r="AD48" s="71"/>
    </row>
    <row r="49" spans="1:30" ht="15.75" x14ac:dyDescent="0.25">
      <c r="B49" s="108" t="s">
        <v>38</v>
      </c>
      <c r="C49" s="39" t="s">
        <v>66</v>
      </c>
      <c r="D49" s="73">
        <v>1.964</v>
      </c>
      <c r="E49" s="74">
        <v>258.8</v>
      </c>
      <c r="F49" s="74">
        <f t="shared" ref="F49:F52" si="25">E49*D49</f>
        <v>508.28320000000002</v>
      </c>
      <c r="G49" s="109"/>
      <c r="H49" s="110"/>
      <c r="I49" s="110"/>
      <c r="J49" s="76"/>
      <c r="K49" s="76"/>
      <c r="L49" s="76">
        <v>188</v>
      </c>
      <c r="M49" s="76">
        <f>G49+L49</f>
        <v>188</v>
      </c>
      <c r="N49" s="76">
        <f>M49-F49</f>
        <v>-320.28320000000002</v>
      </c>
      <c r="O49" s="76"/>
      <c r="P49" s="110"/>
      <c r="Q49" s="110"/>
      <c r="R49" s="110"/>
      <c r="S49" s="124"/>
      <c r="T49" s="110"/>
      <c r="U49" s="110"/>
      <c r="V49" s="111">
        <f>T49+U49</f>
        <v>0</v>
      </c>
      <c r="W49" s="80">
        <v>0</v>
      </c>
      <c r="X49" s="39"/>
      <c r="Y49" s="39">
        <v>0</v>
      </c>
      <c r="Z49" s="39"/>
      <c r="AA49" s="39">
        <v>0</v>
      </c>
      <c r="AB49" s="81">
        <f t="shared" ref="AB49:AB52" si="26">(Y49+AA49)-W49</f>
        <v>0</v>
      </c>
      <c r="AC49" s="112">
        <f t="shared" si="5"/>
        <v>0</v>
      </c>
      <c r="AD49" s="82">
        <f t="shared" si="6"/>
        <v>0</v>
      </c>
    </row>
    <row r="50" spans="1:30" ht="15.75" x14ac:dyDescent="0.25">
      <c r="B50" s="113"/>
      <c r="C50" s="56" t="s">
        <v>67</v>
      </c>
      <c r="D50" s="47">
        <v>0.41099999999999998</v>
      </c>
      <c r="E50" s="48">
        <v>5263.3</v>
      </c>
      <c r="F50" s="48">
        <f t="shared" si="25"/>
        <v>2163.2163</v>
      </c>
      <c r="G50" s="117">
        <v>1728.2</v>
      </c>
      <c r="H50" s="85"/>
      <c r="I50" s="85"/>
      <c r="J50" s="51"/>
      <c r="K50" s="51"/>
      <c r="L50" s="51">
        <v>32</v>
      </c>
      <c r="M50" s="51">
        <f>G50+L50</f>
        <v>1760.2</v>
      </c>
      <c r="N50" s="51">
        <f>M50-F50</f>
        <v>-403.0163</v>
      </c>
      <c r="O50" s="51">
        <v>651.70000000000005</v>
      </c>
      <c r="P50" s="85">
        <v>501.5</v>
      </c>
      <c r="Q50" s="85">
        <v>150.19999999999999</v>
      </c>
      <c r="R50" s="85"/>
      <c r="S50" s="52">
        <f t="shared" ref="S50:S52" si="27">O50+R50</f>
        <v>651.70000000000005</v>
      </c>
      <c r="T50" s="85"/>
      <c r="U50" s="85"/>
      <c r="V50" s="116">
        <f>T50+U50</f>
        <v>0</v>
      </c>
      <c r="W50" s="55">
        <v>3</v>
      </c>
      <c r="X50" s="56"/>
      <c r="Y50" s="56">
        <v>1</v>
      </c>
      <c r="Z50" s="56"/>
      <c r="AA50" s="56"/>
      <c r="AB50" s="57">
        <f t="shared" si="26"/>
        <v>-2</v>
      </c>
      <c r="AC50" s="90">
        <f t="shared" si="5"/>
        <v>1</v>
      </c>
      <c r="AD50" s="58">
        <f t="shared" si="6"/>
        <v>-2</v>
      </c>
    </row>
    <row r="51" spans="1:30" ht="15.75" x14ac:dyDescent="0.25">
      <c r="B51" s="113"/>
      <c r="C51" s="56" t="s">
        <v>68</v>
      </c>
      <c r="D51" s="47">
        <v>1.1519999999999999</v>
      </c>
      <c r="E51" s="48">
        <v>4263.3</v>
      </c>
      <c r="F51" s="48">
        <f t="shared" si="25"/>
        <v>4911.3216000000002</v>
      </c>
      <c r="G51" s="117">
        <v>4409.2</v>
      </c>
      <c r="H51" s="85"/>
      <c r="I51" s="85"/>
      <c r="J51" s="51"/>
      <c r="K51" s="51"/>
      <c r="L51" s="51">
        <v>188</v>
      </c>
      <c r="M51" s="51">
        <f>G51+L51</f>
        <v>4597.2</v>
      </c>
      <c r="N51" s="51">
        <f>M51-F51</f>
        <v>-314.1216000000004</v>
      </c>
      <c r="O51" s="51">
        <v>1573.7</v>
      </c>
      <c r="P51" s="85">
        <v>1209.5999999999999</v>
      </c>
      <c r="Q51" s="85">
        <v>364.1</v>
      </c>
      <c r="R51" s="85"/>
      <c r="S51" s="52">
        <f t="shared" si="27"/>
        <v>1573.7</v>
      </c>
      <c r="T51" s="85"/>
      <c r="U51" s="85"/>
      <c r="V51" s="116">
        <f>T51+U51</f>
        <v>0</v>
      </c>
      <c r="W51" s="55">
        <v>4</v>
      </c>
      <c r="X51" s="56"/>
      <c r="Y51" s="56">
        <v>4</v>
      </c>
      <c r="Z51" s="56"/>
      <c r="AA51" s="56"/>
      <c r="AB51" s="57">
        <f t="shared" si="26"/>
        <v>0</v>
      </c>
      <c r="AC51" s="90">
        <f t="shared" si="5"/>
        <v>4</v>
      </c>
      <c r="AD51" s="58">
        <f t="shared" si="6"/>
        <v>0</v>
      </c>
    </row>
    <row r="52" spans="1:30" ht="15.75" x14ac:dyDescent="0.25">
      <c r="B52" s="113"/>
      <c r="C52" s="56" t="s">
        <v>69</v>
      </c>
      <c r="D52" s="47">
        <v>0.41599999999999998</v>
      </c>
      <c r="E52" s="48">
        <v>5991.7</v>
      </c>
      <c r="F52" s="48">
        <f t="shared" si="25"/>
        <v>2492.5472</v>
      </c>
      <c r="G52" s="117">
        <v>2270.9</v>
      </c>
      <c r="H52" s="85"/>
      <c r="I52" s="85"/>
      <c r="J52" s="51"/>
      <c r="K52" s="51"/>
      <c r="L52" s="51">
        <v>32</v>
      </c>
      <c r="M52" s="51">
        <f>G52+L52</f>
        <v>2302.9</v>
      </c>
      <c r="N52" s="51">
        <f>M52-F52</f>
        <v>-189.64719999999988</v>
      </c>
      <c r="O52" s="51">
        <v>912.2</v>
      </c>
      <c r="P52" s="85">
        <v>703.2</v>
      </c>
      <c r="Q52" s="85">
        <v>209</v>
      </c>
      <c r="R52" s="85"/>
      <c r="S52" s="52">
        <f t="shared" si="27"/>
        <v>912.2</v>
      </c>
      <c r="T52" s="85"/>
      <c r="U52" s="85"/>
      <c r="V52" s="116">
        <f>T52+U52</f>
        <v>0</v>
      </c>
      <c r="W52" s="55">
        <v>3</v>
      </c>
      <c r="X52" s="56"/>
      <c r="Y52" s="56">
        <v>2</v>
      </c>
      <c r="Z52" s="56"/>
      <c r="AA52" s="56"/>
      <c r="AB52" s="57">
        <f t="shared" si="26"/>
        <v>-1</v>
      </c>
      <c r="AC52" s="90">
        <f t="shared" si="5"/>
        <v>2</v>
      </c>
      <c r="AD52" s="58">
        <f t="shared" si="6"/>
        <v>-1</v>
      </c>
    </row>
    <row r="53" spans="1:30" ht="15" customHeight="1" thickBot="1" x14ac:dyDescent="0.3">
      <c r="A53" s="95"/>
      <c r="B53" s="118"/>
      <c r="C53" s="69" t="s">
        <v>65</v>
      </c>
      <c r="D53" s="125"/>
      <c r="E53" s="62"/>
      <c r="F53" s="62"/>
      <c r="G53" s="126">
        <f t="shared" ref="G53:K53" si="28">SUM(G49:G52)</f>
        <v>8408.2999999999993</v>
      </c>
      <c r="H53" s="126">
        <f t="shared" si="28"/>
        <v>0</v>
      </c>
      <c r="I53" s="126">
        <f t="shared" si="28"/>
        <v>0</v>
      </c>
      <c r="J53" s="126">
        <f t="shared" si="28"/>
        <v>0</v>
      </c>
      <c r="K53" s="126">
        <f t="shared" si="28"/>
        <v>0</v>
      </c>
      <c r="L53" s="126">
        <f t="shared" ref="L53:X53" si="29">SUM(L49:L52)</f>
        <v>440</v>
      </c>
      <c r="M53" s="126">
        <f t="shared" si="29"/>
        <v>8848.2999999999993</v>
      </c>
      <c r="N53" s="64"/>
      <c r="O53" s="126">
        <f>SUM(O49:O52)</f>
        <v>3137.6000000000004</v>
      </c>
      <c r="P53" s="126">
        <f t="shared" ref="P53:R53" si="30">SUM(P49:P52)</f>
        <v>2414.3000000000002</v>
      </c>
      <c r="Q53" s="126">
        <f t="shared" si="30"/>
        <v>723.3</v>
      </c>
      <c r="R53" s="126">
        <f t="shared" si="30"/>
        <v>0</v>
      </c>
      <c r="S53" s="120">
        <f>ROUND(SUM(S50:U52),3)</f>
        <v>3137.6</v>
      </c>
      <c r="T53" s="126">
        <f t="shared" si="29"/>
        <v>0</v>
      </c>
      <c r="U53" s="126">
        <f t="shared" si="29"/>
        <v>0</v>
      </c>
      <c r="V53" s="121">
        <f t="shared" si="29"/>
        <v>0</v>
      </c>
      <c r="W53" s="126"/>
      <c r="X53" s="126">
        <f t="shared" si="29"/>
        <v>0</v>
      </c>
      <c r="Y53" s="126">
        <f>SUM(Y49:Y52)</f>
        <v>7</v>
      </c>
      <c r="Z53" s="126"/>
      <c r="AA53" s="126"/>
      <c r="AB53" s="69"/>
      <c r="AC53" s="123">
        <f t="shared" si="5"/>
        <v>7</v>
      </c>
      <c r="AD53" s="71"/>
    </row>
    <row r="54" spans="1:30" ht="15.75" x14ac:dyDescent="0.25">
      <c r="A54" s="95"/>
      <c r="B54" s="108" t="s">
        <v>39</v>
      </c>
      <c r="C54" s="39" t="s">
        <v>70</v>
      </c>
      <c r="D54" s="73">
        <v>3.5270000000000001</v>
      </c>
      <c r="E54" s="74">
        <v>1981.2</v>
      </c>
      <c r="F54" s="74">
        <f t="shared" ref="F54:F59" si="31">E54*D54</f>
        <v>6987.6924000000008</v>
      </c>
      <c r="G54" s="109">
        <v>6537.2</v>
      </c>
      <c r="H54" s="110"/>
      <c r="I54" s="110"/>
      <c r="J54" s="76"/>
      <c r="K54" s="76"/>
      <c r="L54" s="76">
        <v>272.89999999999998</v>
      </c>
      <c r="M54" s="76">
        <f t="shared" ref="M54:M59" si="32">G54+L54</f>
        <v>6810.0999999999995</v>
      </c>
      <c r="N54" s="76">
        <f t="shared" ref="N54:N59" si="33">M54-F54</f>
        <v>-177.59240000000136</v>
      </c>
      <c r="O54" s="76">
        <v>2542.4</v>
      </c>
      <c r="P54" s="110">
        <v>1955.7</v>
      </c>
      <c r="Q54" s="110">
        <v>586.70000000000005</v>
      </c>
      <c r="R54" s="110"/>
      <c r="S54" s="77">
        <f t="shared" ref="S54:S59" si="34">O54+R54</f>
        <v>2542.4</v>
      </c>
      <c r="T54" s="110"/>
      <c r="U54" s="110"/>
      <c r="V54" s="111">
        <f t="shared" ref="V54:V59" si="35">T54+U54</f>
        <v>0</v>
      </c>
      <c r="W54" s="80">
        <v>6</v>
      </c>
      <c r="X54" s="39">
        <v>9</v>
      </c>
      <c r="Y54" s="39">
        <v>6</v>
      </c>
      <c r="Z54" s="39"/>
      <c r="AA54" s="39"/>
      <c r="AB54" s="81">
        <f t="shared" ref="AB54:AB59" si="36">(Y54+AA54)-W54</f>
        <v>0</v>
      </c>
      <c r="AC54" s="112">
        <f t="shared" si="5"/>
        <v>6</v>
      </c>
      <c r="AD54" s="82">
        <f t="shared" si="6"/>
        <v>0</v>
      </c>
    </row>
    <row r="55" spans="1:30" ht="15.75" x14ac:dyDescent="0.25">
      <c r="A55" s="95"/>
      <c r="B55" s="113"/>
      <c r="C55" s="56" t="s">
        <v>71</v>
      </c>
      <c r="D55" s="47">
        <v>2.2200000000000002</v>
      </c>
      <c r="E55" s="48">
        <v>2572.8000000000002</v>
      </c>
      <c r="F55" s="48">
        <f t="shared" si="31"/>
        <v>5711.6160000000009</v>
      </c>
      <c r="G55" s="114">
        <v>4963.1000000000004</v>
      </c>
      <c r="H55" s="115"/>
      <c r="I55" s="115"/>
      <c r="J55" s="51"/>
      <c r="K55" s="51"/>
      <c r="L55" s="51">
        <v>171.8</v>
      </c>
      <c r="M55" s="51">
        <f t="shared" si="32"/>
        <v>5134.9000000000005</v>
      </c>
      <c r="N55" s="51">
        <f t="shared" si="33"/>
        <v>-576.71600000000035</v>
      </c>
      <c r="O55" s="51">
        <v>1306.2</v>
      </c>
      <c r="P55" s="115">
        <v>1006</v>
      </c>
      <c r="Q55" s="115">
        <v>300.2</v>
      </c>
      <c r="R55" s="115"/>
      <c r="S55" s="52">
        <f t="shared" si="34"/>
        <v>1306.2</v>
      </c>
      <c r="T55" s="115"/>
      <c r="U55" s="115"/>
      <c r="V55" s="116">
        <f t="shared" si="35"/>
        <v>0</v>
      </c>
      <c r="W55" s="55">
        <v>4</v>
      </c>
      <c r="X55" s="56"/>
      <c r="Y55" s="56">
        <v>4</v>
      </c>
      <c r="Z55" s="56"/>
      <c r="AA55" s="56"/>
      <c r="AB55" s="57">
        <f t="shared" si="36"/>
        <v>0</v>
      </c>
      <c r="AC55" s="90">
        <f t="shared" si="5"/>
        <v>4</v>
      </c>
      <c r="AD55" s="58">
        <f t="shared" si="6"/>
        <v>0</v>
      </c>
    </row>
    <row r="56" spans="1:30" ht="15.75" x14ac:dyDescent="0.25">
      <c r="A56" s="95"/>
      <c r="B56" s="113"/>
      <c r="C56" s="56" t="s">
        <v>72</v>
      </c>
      <c r="D56" s="47">
        <v>4.4480000000000004</v>
      </c>
      <c r="E56" s="48">
        <v>1944.7</v>
      </c>
      <c r="F56" s="48">
        <f t="shared" si="31"/>
        <v>8650.0256000000008</v>
      </c>
      <c r="G56" s="114">
        <v>8167.8</v>
      </c>
      <c r="H56" s="115"/>
      <c r="I56" s="115"/>
      <c r="J56" s="51"/>
      <c r="K56" s="51"/>
      <c r="L56" s="51">
        <v>344.3</v>
      </c>
      <c r="M56" s="51">
        <f t="shared" si="32"/>
        <v>8512.1</v>
      </c>
      <c r="N56" s="51">
        <f t="shared" si="33"/>
        <v>-137.92560000000049</v>
      </c>
      <c r="O56" s="51">
        <v>1959.8</v>
      </c>
      <c r="P56" s="115">
        <v>1482.5</v>
      </c>
      <c r="Q56" s="115">
        <v>477.3</v>
      </c>
      <c r="R56" s="115"/>
      <c r="S56" s="52">
        <f t="shared" si="34"/>
        <v>1959.8</v>
      </c>
      <c r="T56" s="115"/>
      <c r="U56" s="115"/>
      <c r="V56" s="116">
        <f t="shared" si="35"/>
        <v>0</v>
      </c>
      <c r="W56" s="55">
        <v>6</v>
      </c>
      <c r="X56" s="56"/>
      <c r="Y56" s="56">
        <v>6</v>
      </c>
      <c r="Z56" s="56"/>
      <c r="AA56" s="56"/>
      <c r="AB56" s="57">
        <f t="shared" si="36"/>
        <v>0</v>
      </c>
      <c r="AC56" s="90">
        <f t="shared" si="5"/>
        <v>6</v>
      </c>
      <c r="AD56" s="58">
        <f t="shared" si="6"/>
        <v>0</v>
      </c>
    </row>
    <row r="57" spans="1:30" ht="15.75" x14ac:dyDescent="0.25">
      <c r="A57" s="95"/>
      <c r="B57" s="113"/>
      <c r="C57" s="127" t="s">
        <v>73</v>
      </c>
      <c r="D57" s="47">
        <v>1.444</v>
      </c>
      <c r="E57" s="48">
        <v>3802.7</v>
      </c>
      <c r="F57" s="48">
        <f t="shared" si="31"/>
        <v>5491.0987999999998</v>
      </c>
      <c r="G57" s="114">
        <v>5343.5</v>
      </c>
      <c r="H57" s="115"/>
      <c r="I57" s="115"/>
      <c r="J57" s="51"/>
      <c r="K57" s="51"/>
      <c r="L57" s="51">
        <v>111.9</v>
      </c>
      <c r="M57" s="51">
        <f t="shared" si="32"/>
        <v>5455.4</v>
      </c>
      <c r="N57" s="51">
        <f t="shared" si="33"/>
        <v>-35.698800000000119</v>
      </c>
      <c r="O57" s="51">
        <v>1468.5</v>
      </c>
      <c r="P57" s="115">
        <v>1127.9000000000001</v>
      </c>
      <c r="Q57" s="115">
        <v>340.6</v>
      </c>
      <c r="R57" s="115"/>
      <c r="S57" s="52">
        <f t="shared" si="34"/>
        <v>1468.5</v>
      </c>
      <c r="T57" s="115"/>
      <c r="U57" s="115"/>
      <c r="V57" s="116">
        <f t="shared" si="35"/>
        <v>0</v>
      </c>
      <c r="W57" s="86">
        <v>7</v>
      </c>
      <c r="X57" s="56"/>
      <c r="Y57" s="56">
        <v>3</v>
      </c>
      <c r="Z57" s="56"/>
      <c r="AA57" s="56"/>
      <c r="AB57" s="57">
        <f t="shared" si="36"/>
        <v>-4</v>
      </c>
      <c r="AC57" s="90">
        <f t="shared" si="5"/>
        <v>3</v>
      </c>
      <c r="AD57" s="58">
        <f t="shared" si="6"/>
        <v>-4</v>
      </c>
    </row>
    <row r="58" spans="1:30" ht="15.75" x14ac:dyDescent="0.25">
      <c r="A58" s="95"/>
      <c r="B58" s="113"/>
      <c r="C58" s="127" t="s">
        <v>74</v>
      </c>
      <c r="D58" s="47">
        <v>1.0269999999999999</v>
      </c>
      <c r="E58" s="48">
        <v>5220.5</v>
      </c>
      <c r="F58" s="48">
        <f t="shared" si="31"/>
        <v>5361.4534999999996</v>
      </c>
      <c r="G58" s="117">
        <v>5079.3999999999996</v>
      </c>
      <c r="H58" s="85"/>
      <c r="I58" s="85"/>
      <c r="J58" s="51"/>
      <c r="K58" s="51"/>
      <c r="L58" s="51">
        <v>79.3</v>
      </c>
      <c r="M58" s="51">
        <f t="shared" si="32"/>
        <v>5158.7</v>
      </c>
      <c r="N58" s="51">
        <f t="shared" si="33"/>
        <v>-202.7534999999998</v>
      </c>
      <c r="O58" s="51">
        <v>1585.8</v>
      </c>
      <c r="P58" s="115">
        <v>1218</v>
      </c>
      <c r="Q58" s="115">
        <v>367.8</v>
      </c>
      <c r="R58" s="115"/>
      <c r="S58" s="52">
        <f t="shared" si="34"/>
        <v>1585.8</v>
      </c>
      <c r="T58" s="115"/>
      <c r="U58" s="115"/>
      <c r="V58" s="116">
        <f t="shared" si="35"/>
        <v>0</v>
      </c>
      <c r="W58" s="86">
        <v>7</v>
      </c>
      <c r="X58" s="56"/>
      <c r="Y58" s="56">
        <v>4</v>
      </c>
      <c r="Z58" s="56"/>
      <c r="AA58" s="56"/>
      <c r="AB58" s="57">
        <f t="shared" si="36"/>
        <v>-3</v>
      </c>
      <c r="AC58" s="90">
        <f t="shared" si="5"/>
        <v>4</v>
      </c>
      <c r="AD58" s="58">
        <f t="shared" si="6"/>
        <v>-3</v>
      </c>
    </row>
    <row r="59" spans="1:30" ht="15.75" x14ac:dyDescent="0.25">
      <c r="A59" s="95">
        <v>0</v>
      </c>
      <c r="B59" s="113"/>
      <c r="C59" s="127" t="s">
        <v>75</v>
      </c>
      <c r="D59" s="47">
        <v>3.0659999999999998</v>
      </c>
      <c r="E59" s="48">
        <v>2231</v>
      </c>
      <c r="F59" s="48">
        <f t="shared" si="31"/>
        <v>6840.2459999999992</v>
      </c>
      <c r="G59" s="114">
        <v>6602.7</v>
      </c>
      <c r="H59" s="115"/>
      <c r="I59" s="115"/>
      <c r="J59" s="51"/>
      <c r="K59" s="51"/>
      <c r="L59" s="51">
        <v>237.4</v>
      </c>
      <c r="M59" s="51">
        <f t="shared" si="32"/>
        <v>6840.0999999999995</v>
      </c>
      <c r="N59" s="51">
        <f t="shared" si="33"/>
        <v>-0.14599999999973079</v>
      </c>
      <c r="O59" s="51">
        <v>2418.3000000000002</v>
      </c>
      <c r="P59" s="115">
        <v>1862.9</v>
      </c>
      <c r="Q59" s="115">
        <v>555.4</v>
      </c>
      <c r="R59" s="115"/>
      <c r="S59" s="52">
        <f t="shared" si="34"/>
        <v>2418.3000000000002</v>
      </c>
      <c r="T59" s="115"/>
      <c r="U59" s="115"/>
      <c r="V59" s="116">
        <f t="shared" si="35"/>
        <v>0</v>
      </c>
      <c r="W59" s="86">
        <v>7</v>
      </c>
      <c r="X59" s="56"/>
      <c r="Y59" s="56">
        <v>7</v>
      </c>
      <c r="Z59" s="56"/>
      <c r="AA59" s="56"/>
      <c r="AB59" s="57">
        <f t="shared" si="36"/>
        <v>0</v>
      </c>
      <c r="AC59" s="90">
        <f t="shared" si="5"/>
        <v>7</v>
      </c>
      <c r="AD59" s="58">
        <f t="shared" si="6"/>
        <v>0</v>
      </c>
    </row>
    <row r="60" spans="1:30" ht="16.5" thickBot="1" x14ac:dyDescent="0.3">
      <c r="A60" s="95"/>
      <c r="B60" s="118"/>
      <c r="C60" s="69" t="s">
        <v>65</v>
      </c>
      <c r="D60" s="125"/>
      <c r="E60" s="62"/>
      <c r="F60" s="62"/>
      <c r="G60" s="120">
        <f t="shared" ref="G60:I60" si="37">SUM(G54:G59)</f>
        <v>36693.699999999997</v>
      </c>
      <c r="H60" s="126">
        <f t="shared" si="37"/>
        <v>0</v>
      </c>
      <c r="I60" s="126">
        <f t="shared" si="37"/>
        <v>0</v>
      </c>
      <c r="J60" s="126">
        <f>SUM(J54:J59)</f>
        <v>0</v>
      </c>
      <c r="K60" s="126">
        <f t="shared" ref="K60:V60" si="38">SUM(K54:K59)</f>
        <v>0</v>
      </c>
      <c r="L60" s="126">
        <f t="shared" si="38"/>
        <v>1217.5999999999999</v>
      </c>
      <c r="M60" s="120">
        <f t="shared" si="38"/>
        <v>37911.300000000003</v>
      </c>
      <c r="N60" s="64"/>
      <c r="O60" s="126">
        <f t="shared" ref="O60:Q60" si="39">SUM(O54:O59)</f>
        <v>11281</v>
      </c>
      <c r="P60" s="126">
        <f t="shared" si="39"/>
        <v>8653</v>
      </c>
      <c r="Q60" s="126">
        <f t="shared" si="39"/>
        <v>2628.0000000000005</v>
      </c>
      <c r="R60" s="126">
        <f>SUM(R54:R59)</f>
        <v>0</v>
      </c>
      <c r="S60" s="126">
        <f t="shared" ref="S60" si="40">SUM(S54:S59)</f>
        <v>11281</v>
      </c>
      <c r="T60" s="126">
        <f t="shared" si="38"/>
        <v>0</v>
      </c>
      <c r="U60" s="126">
        <f t="shared" si="38"/>
        <v>0</v>
      </c>
      <c r="V60" s="121">
        <f t="shared" si="38"/>
        <v>0</v>
      </c>
      <c r="W60" s="122"/>
      <c r="X60" s="126">
        <f t="shared" ref="X60:AA60" si="41">SUM(X54:X59)</f>
        <v>9</v>
      </c>
      <c r="Y60" s="126">
        <f t="shared" si="41"/>
        <v>30</v>
      </c>
      <c r="Z60" s="126">
        <f t="shared" si="41"/>
        <v>0</v>
      </c>
      <c r="AA60" s="126">
        <f t="shared" si="41"/>
        <v>0</v>
      </c>
      <c r="AB60" s="69"/>
      <c r="AC60" s="123">
        <f>Y60+AA60</f>
        <v>30</v>
      </c>
      <c r="AD60" s="71"/>
    </row>
    <row r="61" spans="1:30" ht="15.75" x14ac:dyDescent="0.25">
      <c r="A61" s="95"/>
      <c r="B61" s="108" t="s">
        <v>76</v>
      </c>
      <c r="C61" s="128" t="s">
        <v>77</v>
      </c>
      <c r="D61" s="73">
        <v>5.4980000000000002</v>
      </c>
      <c r="E61" s="74">
        <v>221.3</v>
      </c>
      <c r="F61" s="74">
        <f t="shared" ref="F61:F66" si="42">E61*D61</f>
        <v>1216.7074</v>
      </c>
      <c r="G61" s="109"/>
      <c r="H61" s="110"/>
      <c r="I61" s="110"/>
      <c r="J61" s="76"/>
      <c r="K61" s="76"/>
      <c r="L61" s="76">
        <v>113.9</v>
      </c>
      <c r="M61" s="76">
        <f>G61+L61</f>
        <v>113.9</v>
      </c>
      <c r="N61" s="76">
        <f t="shared" ref="N61:N66" si="43">M61-F61</f>
        <v>-1102.8073999999999</v>
      </c>
      <c r="O61" s="76"/>
      <c r="P61" s="110"/>
      <c r="Q61" s="110"/>
      <c r="R61" s="110"/>
      <c r="S61" s="75"/>
      <c r="T61" s="110"/>
      <c r="U61" s="110"/>
      <c r="V61" s="111">
        <f>T61+U61</f>
        <v>0</v>
      </c>
      <c r="W61" s="80">
        <v>0</v>
      </c>
      <c r="X61" s="39"/>
      <c r="Y61" s="39">
        <v>0</v>
      </c>
      <c r="Z61" s="39"/>
      <c r="AA61" s="39"/>
      <c r="AB61" s="81">
        <f t="shared" ref="AB61:AB66" si="44">(Y61+AA61)-W61</f>
        <v>0</v>
      </c>
      <c r="AC61" s="112">
        <f t="shared" si="5"/>
        <v>0</v>
      </c>
      <c r="AD61" s="82">
        <f t="shared" si="6"/>
        <v>0</v>
      </c>
    </row>
    <row r="62" spans="1:30" ht="15.75" x14ac:dyDescent="0.25">
      <c r="A62" s="95"/>
      <c r="B62" s="113"/>
      <c r="C62" s="88" t="s">
        <v>78</v>
      </c>
      <c r="D62" s="47">
        <v>2.8940000000000001</v>
      </c>
      <c r="E62" s="48">
        <v>2586.4</v>
      </c>
      <c r="F62" s="48">
        <f t="shared" si="42"/>
        <v>7485.0416000000005</v>
      </c>
      <c r="G62" s="114">
        <v>6479.6</v>
      </c>
      <c r="H62" s="115"/>
      <c r="I62" s="115"/>
      <c r="J62" s="51"/>
      <c r="K62" s="51"/>
      <c r="L62" s="51">
        <v>343.6</v>
      </c>
      <c r="M62" s="51">
        <f>G62+L62</f>
        <v>6823.2000000000007</v>
      </c>
      <c r="N62" s="51">
        <f t="shared" si="43"/>
        <v>-661.84159999999974</v>
      </c>
      <c r="O62" s="51">
        <v>2566</v>
      </c>
      <c r="P62" s="115">
        <v>1976.4</v>
      </c>
      <c r="Q62" s="115">
        <v>589.6</v>
      </c>
      <c r="R62" s="115"/>
      <c r="S62" s="52">
        <f t="shared" ref="S62:S66" si="45">O62+R62</f>
        <v>2566</v>
      </c>
      <c r="T62" s="115"/>
      <c r="U62" s="115"/>
      <c r="V62" s="116">
        <f>T62+U62</f>
        <v>0</v>
      </c>
      <c r="W62" s="55">
        <v>7</v>
      </c>
      <c r="X62" s="56"/>
      <c r="Y62" s="56">
        <v>5</v>
      </c>
      <c r="Z62" s="56"/>
      <c r="AA62" s="56">
        <v>0.25</v>
      </c>
      <c r="AB62" s="57">
        <f t="shared" si="44"/>
        <v>-1.75</v>
      </c>
      <c r="AC62" s="90">
        <f t="shared" si="5"/>
        <v>5.25</v>
      </c>
      <c r="AD62" s="58">
        <v>-1.7</v>
      </c>
    </row>
    <row r="63" spans="1:30" ht="15.75" hidden="1" x14ac:dyDescent="0.25">
      <c r="A63" s="95"/>
      <c r="B63" s="113"/>
      <c r="C63" s="88" t="s">
        <v>79</v>
      </c>
      <c r="D63" s="47"/>
      <c r="E63" s="48"/>
      <c r="F63" s="48">
        <f t="shared" si="42"/>
        <v>0</v>
      </c>
      <c r="G63" s="117"/>
      <c r="H63" s="85"/>
      <c r="I63" s="85"/>
      <c r="J63" s="51"/>
      <c r="K63" s="51"/>
      <c r="L63" s="51"/>
      <c r="M63" s="51"/>
      <c r="N63" s="51">
        <f t="shared" si="43"/>
        <v>0</v>
      </c>
      <c r="O63" s="51"/>
      <c r="P63" s="85"/>
      <c r="Q63" s="85"/>
      <c r="R63" s="85"/>
      <c r="S63" s="52">
        <f t="shared" si="45"/>
        <v>0</v>
      </c>
      <c r="T63" s="85"/>
      <c r="U63" s="85"/>
      <c r="V63" s="116"/>
      <c r="W63" s="55"/>
      <c r="X63" s="56"/>
      <c r="Y63" s="56"/>
      <c r="Z63" s="56"/>
      <c r="AA63" s="56"/>
      <c r="AB63" s="57">
        <f t="shared" si="44"/>
        <v>0</v>
      </c>
      <c r="AC63" s="90">
        <f t="shared" si="5"/>
        <v>0</v>
      </c>
      <c r="AD63" s="58">
        <f t="shared" si="6"/>
        <v>0</v>
      </c>
    </row>
    <row r="64" spans="1:30" ht="15.75" x14ac:dyDescent="0.25">
      <c r="A64" s="95"/>
      <c r="B64" s="113"/>
      <c r="C64" s="129" t="s">
        <v>80</v>
      </c>
      <c r="D64" s="47">
        <v>0.95799999999999996</v>
      </c>
      <c r="E64" s="48">
        <v>5470.3</v>
      </c>
      <c r="F64" s="48">
        <f t="shared" si="42"/>
        <v>5240.5474000000004</v>
      </c>
      <c r="G64" s="117">
        <v>2981.9</v>
      </c>
      <c r="H64" s="85"/>
      <c r="I64" s="85"/>
      <c r="J64" s="51"/>
      <c r="K64" s="51"/>
      <c r="L64" s="51">
        <v>1085.8</v>
      </c>
      <c r="M64" s="51">
        <f>G64+L64</f>
        <v>4067.7</v>
      </c>
      <c r="N64" s="51">
        <f t="shared" si="43"/>
        <v>-1172.8474000000006</v>
      </c>
      <c r="O64" s="51">
        <v>1164.8</v>
      </c>
      <c r="P64" s="85">
        <v>897.4</v>
      </c>
      <c r="Q64" s="85">
        <v>267.39999999999998</v>
      </c>
      <c r="R64" s="85"/>
      <c r="S64" s="52">
        <f t="shared" si="45"/>
        <v>1164.8</v>
      </c>
      <c r="T64" s="85"/>
      <c r="U64" s="85"/>
      <c r="V64" s="116">
        <f>T64+U64</f>
        <v>0</v>
      </c>
      <c r="W64" s="55">
        <v>5</v>
      </c>
      <c r="X64" s="56"/>
      <c r="Y64" s="56">
        <v>3.75</v>
      </c>
      <c r="Z64" s="56"/>
      <c r="AA64" s="56">
        <v>1.25</v>
      </c>
      <c r="AB64" s="57">
        <f t="shared" si="44"/>
        <v>0</v>
      </c>
      <c r="AC64" s="90">
        <f t="shared" si="5"/>
        <v>5</v>
      </c>
      <c r="AD64" s="58">
        <f t="shared" si="6"/>
        <v>0</v>
      </c>
    </row>
    <row r="65" spans="1:30" ht="15.75" x14ac:dyDescent="0.25">
      <c r="A65" s="95"/>
      <c r="B65" s="113"/>
      <c r="C65" s="88" t="s">
        <v>81</v>
      </c>
      <c r="D65" s="47">
        <v>1.1479999999999999</v>
      </c>
      <c r="E65" s="48">
        <v>3773.8</v>
      </c>
      <c r="F65" s="48">
        <f t="shared" si="42"/>
        <v>4332.3224</v>
      </c>
      <c r="G65" s="117">
        <v>3693.2</v>
      </c>
      <c r="H65" s="85"/>
      <c r="I65" s="85"/>
      <c r="J65" s="51"/>
      <c r="K65" s="51"/>
      <c r="L65" s="51">
        <v>121.7</v>
      </c>
      <c r="M65" s="51">
        <f>G65+L65</f>
        <v>3814.8999999999996</v>
      </c>
      <c r="N65" s="51">
        <f t="shared" si="43"/>
        <v>-517.42240000000038</v>
      </c>
      <c r="O65" s="51">
        <v>1353.6</v>
      </c>
      <c r="P65" s="85">
        <v>1040.4000000000001</v>
      </c>
      <c r="Q65" s="85">
        <v>313.2</v>
      </c>
      <c r="R65" s="85"/>
      <c r="S65" s="52">
        <f t="shared" si="45"/>
        <v>1353.6</v>
      </c>
      <c r="T65" s="85"/>
      <c r="U65" s="85"/>
      <c r="V65" s="116">
        <f>T65+U65</f>
        <v>0</v>
      </c>
      <c r="W65" s="55">
        <v>4</v>
      </c>
      <c r="X65" s="56"/>
      <c r="Y65" s="56">
        <v>3</v>
      </c>
      <c r="Z65" s="56"/>
      <c r="AA65" s="56">
        <v>0.25</v>
      </c>
      <c r="AB65" s="57">
        <f t="shared" si="44"/>
        <v>-0.75</v>
      </c>
      <c r="AC65" s="90">
        <f t="shared" si="5"/>
        <v>3.25</v>
      </c>
      <c r="AD65" s="58">
        <v>-0.7</v>
      </c>
    </row>
    <row r="66" spans="1:30" ht="15.75" x14ac:dyDescent="0.25">
      <c r="A66" s="95"/>
      <c r="B66" s="113"/>
      <c r="C66" s="88" t="s">
        <v>82</v>
      </c>
      <c r="D66" s="47">
        <v>1.367</v>
      </c>
      <c r="E66" s="48">
        <v>3776.6</v>
      </c>
      <c r="F66" s="48">
        <f t="shared" si="42"/>
        <v>5162.6121999999996</v>
      </c>
      <c r="G66" s="117">
        <v>4240.1000000000004</v>
      </c>
      <c r="H66" s="85"/>
      <c r="I66" s="85"/>
      <c r="J66" s="51"/>
      <c r="K66" s="51"/>
      <c r="L66" s="51">
        <v>179.9</v>
      </c>
      <c r="M66" s="51">
        <f>G66+L66</f>
        <v>4420</v>
      </c>
      <c r="N66" s="51">
        <f t="shared" si="43"/>
        <v>-742.61219999999958</v>
      </c>
      <c r="O66" s="51">
        <v>1527.1</v>
      </c>
      <c r="P66" s="85">
        <v>1166.9000000000001</v>
      </c>
      <c r="Q66" s="85">
        <v>360.2</v>
      </c>
      <c r="R66" s="85"/>
      <c r="S66" s="52">
        <f t="shared" si="45"/>
        <v>1527.1</v>
      </c>
      <c r="T66" s="85"/>
      <c r="U66" s="85"/>
      <c r="V66" s="116">
        <f>T66+U66</f>
        <v>0</v>
      </c>
      <c r="W66" s="55">
        <v>5</v>
      </c>
      <c r="X66" s="56"/>
      <c r="Y66" s="56">
        <v>4.25</v>
      </c>
      <c r="Z66" s="56"/>
      <c r="AA66" s="56">
        <v>0.25</v>
      </c>
      <c r="AB66" s="57">
        <f t="shared" si="44"/>
        <v>-0.5</v>
      </c>
      <c r="AC66" s="90">
        <f t="shared" si="5"/>
        <v>4.5</v>
      </c>
      <c r="AD66" s="58">
        <f t="shared" si="6"/>
        <v>-0.5</v>
      </c>
    </row>
    <row r="67" spans="1:30" ht="21" customHeight="1" thickBot="1" x14ac:dyDescent="0.3">
      <c r="A67" s="95"/>
      <c r="B67" s="118"/>
      <c r="C67" s="69" t="s">
        <v>65</v>
      </c>
      <c r="D67" s="130"/>
      <c r="E67" s="62"/>
      <c r="F67" s="62"/>
      <c r="G67" s="131">
        <f>ROUND(SUM(G61:G66),3)</f>
        <v>17394.8</v>
      </c>
      <c r="H67" s="132">
        <f t="shared" ref="H67:I67" si="46">ROUND(SUM(H61:H66),3)</f>
        <v>0</v>
      </c>
      <c r="I67" s="132">
        <f t="shared" si="46"/>
        <v>0</v>
      </c>
      <c r="J67" s="132">
        <f>ROUND(SUM(J61:J66),3)</f>
        <v>0</v>
      </c>
      <c r="K67" s="132"/>
      <c r="L67" s="132">
        <f t="shared" ref="L67:V67" si="47">ROUND(SUM(L61:L66),3)</f>
        <v>1844.9</v>
      </c>
      <c r="M67" s="132">
        <f t="shared" si="47"/>
        <v>19239.7</v>
      </c>
      <c r="N67" s="64"/>
      <c r="O67" s="132">
        <f>ROUND(SUM(O61:O66),3)</f>
        <v>6611.5</v>
      </c>
      <c r="P67" s="132">
        <f t="shared" ref="P67:S67" si="48">ROUND(SUM(P61:P66),3)</f>
        <v>5081.1000000000004</v>
      </c>
      <c r="Q67" s="132">
        <f t="shared" si="48"/>
        <v>1530.4</v>
      </c>
      <c r="R67" s="132">
        <f t="shared" si="48"/>
        <v>0</v>
      </c>
      <c r="S67" s="132">
        <f t="shared" si="48"/>
        <v>6611.5</v>
      </c>
      <c r="T67" s="132">
        <f t="shared" si="47"/>
        <v>0</v>
      </c>
      <c r="U67" s="132">
        <f t="shared" si="47"/>
        <v>0</v>
      </c>
      <c r="V67" s="133">
        <f t="shared" si="47"/>
        <v>0</v>
      </c>
      <c r="W67" s="134"/>
      <c r="X67" s="132">
        <f>ROUND(SUM(X61:X66),3)</f>
        <v>0</v>
      </c>
      <c r="Y67" s="132">
        <f t="shared" ref="Y67:AA67" si="49">ROUND(SUM(Y61:Y66),3)</f>
        <v>16</v>
      </c>
      <c r="Z67" s="132">
        <f t="shared" si="49"/>
        <v>0</v>
      </c>
      <c r="AA67" s="132">
        <f t="shared" si="49"/>
        <v>2</v>
      </c>
      <c r="AB67" s="69"/>
      <c r="AC67" s="123">
        <f t="shared" si="5"/>
        <v>18</v>
      </c>
      <c r="AD67" s="71"/>
    </row>
    <row r="68" spans="1:30" ht="14.25" customHeight="1" x14ac:dyDescent="0.25">
      <c r="A68" s="95"/>
      <c r="B68" s="108" t="s">
        <v>41</v>
      </c>
      <c r="C68" s="39" t="s">
        <v>83</v>
      </c>
      <c r="D68" s="73">
        <v>8.3759999999999994</v>
      </c>
      <c r="E68" s="74">
        <v>1937.5</v>
      </c>
      <c r="F68" s="74">
        <f t="shared" ref="F68:F72" si="50">E68*D68</f>
        <v>16228.499999999998</v>
      </c>
      <c r="G68" s="109">
        <v>3043.2</v>
      </c>
      <c r="H68" s="110"/>
      <c r="I68" s="110"/>
      <c r="J68" s="76"/>
      <c r="K68" s="76"/>
      <c r="L68" s="76">
        <v>11362.9</v>
      </c>
      <c r="M68" s="76">
        <f>G68+L68</f>
        <v>14406.099999999999</v>
      </c>
      <c r="N68" s="76">
        <f>M68-F68</f>
        <v>-1822.3999999999996</v>
      </c>
      <c r="O68" s="76">
        <v>6681.3</v>
      </c>
      <c r="P68" s="110">
        <v>5135.3</v>
      </c>
      <c r="Q68" s="110">
        <v>1546</v>
      </c>
      <c r="R68" s="110"/>
      <c r="S68" s="77">
        <f t="shared" ref="S68:S72" si="51">O68+R68</f>
        <v>6681.3</v>
      </c>
      <c r="T68" s="110"/>
      <c r="U68" s="110"/>
      <c r="V68" s="111">
        <f>T68+U68</f>
        <v>0</v>
      </c>
      <c r="W68" s="80">
        <v>12</v>
      </c>
      <c r="X68" s="39"/>
      <c r="Y68" s="39">
        <v>0</v>
      </c>
      <c r="Z68" s="39"/>
      <c r="AA68" s="39">
        <v>10</v>
      </c>
      <c r="AB68" s="57">
        <f t="shared" ref="AB68:AB72" si="52">(Y68+AA68)-W68</f>
        <v>-2</v>
      </c>
      <c r="AC68" s="112">
        <f t="shared" si="5"/>
        <v>10</v>
      </c>
      <c r="AD68" s="82">
        <f t="shared" si="6"/>
        <v>-2</v>
      </c>
    </row>
    <row r="69" spans="1:30" ht="14.25" customHeight="1" x14ac:dyDescent="0.25">
      <c r="A69" s="95"/>
      <c r="B69" s="113"/>
      <c r="C69" s="135" t="s">
        <v>84</v>
      </c>
      <c r="D69" s="47">
        <v>1.452</v>
      </c>
      <c r="E69" s="48">
        <v>6011.6</v>
      </c>
      <c r="F69" s="48">
        <f t="shared" si="50"/>
        <v>8728.8432000000012</v>
      </c>
      <c r="G69" s="117">
        <v>8679.7000000000007</v>
      </c>
      <c r="H69" s="85"/>
      <c r="I69" s="85"/>
      <c r="J69" s="51"/>
      <c r="K69" s="51"/>
      <c r="L69" s="51"/>
      <c r="M69" s="51">
        <f>G69+L69</f>
        <v>8679.7000000000007</v>
      </c>
      <c r="N69" s="51">
        <f>M69-F69</f>
        <v>-49.143200000000434</v>
      </c>
      <c r="O69" s="51">
        <v>3299.9</v>
      </c>
      <c r="P69" s="85">
        <v>2355</v>
      </c>
      <c r="Q69" s="85">
        <v>944.9</v>
      </c>
      <c r="R69" s="85"/>
      <c r="S69" s="52">
        <f t="shared" si="51"/>
        <v>3299.9</v>
      </c>
      <c r="T69" s="85"/>
      <c r="U69" s="85"/>
      <c r="V69" s="116">
        <f>T69+U69</f>
        <v>0</v>
      </c>
      <c r="W69" s="86">
        <v>9</v>
      </c>
      <c r="X69" s="56"/>
      <c r="Y69" s="56">
        <v>9</v>
      </c>
      <c r="Z69" s="56"/>
      <c r="AA69" s="56"/>
      <c r="AB69" s="57">
        <f t="shared" si="52"/>
        <v>0</v>
      </c>
      <c r="AC69" s="90">
        <f t="shared" si="5"/>
        <v>9</v>
      </c>
      <c r="AD69" s="58">
        <f t="shared" si="6"/>
        <v>0</v>
      </c>
    </row>
    <row r="70" spans="1:30" ht="14.25" customHeight="1" x14ac:dyDescent="0.25">
      <c r="A70" s="95"/>
      <c r="B70" s="113"/>
      <c r="C70" s="135" t="s">
        <v>85</v>
      </c>
      <c r="D70" s="47">
        <v>0.38</v>
      </c>
      <c r="E70" s="48">
        <v>9687.9</v>
      </c>
      <c r="F70" s="48">
        <f t="shared" si="50"/>
        <v>3681.402</v>
      </c>
      <c r="G70" s="117">
        <v>3681.4</v>
      </c>
      <c r="H70" s="85"/>
      <c r="I70" s="85"/>
      <c r="J70" s="51"/>
      <c r="K70" s="51"/>
      <c r="L70" s="51"/>
      <c r="M70" s="51">
        <f>G70+L70</f>
        <v>3681.4</v>
      </c>
      <c r="N70" s="51">
        <f>M70-F70</f>
        <v>-1.9999999999527063E-3</v>
      </c>
      <c r="O70" s="51">
        <v>1252.9000000000001</v>
      </c>
      <c r="P70" s="85">
        <v>964.7</v>
      </c>
      <c r="Q70" s="85">
        <v>288.2</v>
      </c>
      <c r="R70" s="85"/>
      <c r="S70" s="52">
        <f t="shared" si="51"/>
        <v>1252.9000000000001</v>
      </c>
      <c r="T70" s="85"/>
      <c r="U70" s="85"/>
      <c r="V70" s="116">
        <f>T70+U70</f>
        <v>0</v>
      </c>
      <c r="W70" s="86">
        <v>5</v>
      </c>
      <c r="X70" s="56"/>
      <c r="Y70" s="56">
        <v>5</v>
      </c>
      <c r="Z70" s="56"/>
      <c r="AA70" s="56"/>
      <c r="AB70" s="57">
        <f t="shared" si="52"/>
        <v>0</v>
      </c>
      <c r="AC70" s="90">
        <f t="shared" si="5"/>
        <v>5</v>
      </c>
      <c r="AD70" s="58">
        <f t="shared" si="6"/>
        <v>0</v>
      </c>
    </row>
    <row r="71" spans="1:30" ht="14.25" customHeight="1" x14ac:dyDescent="0.25">
      <c r="A71" s="95"/>
      <c r="B71" s="113"/>
      <c r="C71" s="135" t="s">
        <v>86</v>
      </c>
      <c r="D71" s="47">
        <v>1.331</v>
      </c>
      <c r="E71" s="48">
        <v>4295.8999999999996</v>
      </c>
      <c r="F71" s="48">
        <f t="shared" si="50"/>
        <v>5717.8428999999996</v>
      </c>
      <c r="G71" s="117">
        <v>5717.8</v>
      </c>
      <c r="H71" s="85"/>
      <c r="I71" s="85"/>
      <c r="J71" s="51"/>
      <c r="K71" s="51"/>
      <c r="L71" s="51"/>
      <c r="M71" s="51">
        <f>G71+L71</f>
        <v>5717.8</v>
      </c>
      <c r="N71" s="51">
        <f>M71-F71</f>
        <v>-4.2899999999463034E-2</v>
      </c>
      <c r="O71" s="51">
        <v>2442.6</v>
      </c>
      <c r="P71" s="85">
        <v>1876</v>
      </c>
      <c r="Q71" s="85">
        <v>566.6</v>
      </c>
      <c r="R71" s="85"/>
      <c r="S71" s="52">
        <f t="shared" si="51"/>
        <v>2442.6</v>
      </c>
      <c r="T71" s="85"/>
      <c r="U71" s="85"/>
      <c r="V71" s="116">
        <f>T71+U71</f>
        <v>0</v>
      </c>
      <c r="W71" s="86">
        <v>5</v>
      </c>
      <c r="X71" s="56"/>
      <c r="Y71" s="56">
        <v>5</v>
      </c>
      <c r="Z71" s="56"/>
      <c r="AA71" s="56"/>
      <c r="AB71" s="57">
        <f t="shared" si="52"/>
        <v>0</v>
      </c>
      <c r="AC71" s="90">
        <f t="shared" si="5"/>
        <v>5</v>
      </c>
      <c r="AD71" s="58">
        <f t="shared" si="6"/>
        <v>0</v>
      </c>
    </row>
    <row r="72" spans="1:30" ht="14.25" customHeight="1" x14ac:dyDescent="0.25">
      <c r="A72" s="95"/>
      <c r="B72" s="113"/>
      <c r="C72" s="135" t="s">
        <v>87</v>
      </c>
      <c r="D72" s="47">
        <v>0.61399999999999999</v>
      </c>
      <c r="E72" s="48">
        <v>7750</v>
      </c>
      <c r="F72" s="48">
        <f t="shared" si="50"/>
        <v>4758.5</v>
      </c>
      <c r="G72" s="117">
        <v>4546.8</v>
      </c>
      <c r="H72" s="85"/>
      <c r="I72" s="85"/>
      <c r="J72" s="51"/>
      <c r="K72" s="51"/>
      <c r="L72" s="51"/>
      <c r="M72" s="51">
        <f>G72+L72</f>
        <v>4546.8</v>
      </c>
      <c r="N72" s="51">
        <f>M72-F72</f>
        <v>-211.69999999999982</v>
      </c>
      <c r="O72" s="51">
        <v>1833.4</v>
      </c>
      <c r="P72" s="85">
        <v>1409.1</v>
      </c>
      <c r="Q72" s="85">
        <v>424.3</v>
      </c>
      <c r="R72" s="85"/>
      <c r="S72" s="52">
        <f t="shared" si="51"/>
        <v>1833.4</v>
      </c>
      <c r="T72" s="85"/>
      <c r="U72" s="85"/>
      <c r="V72" s="116">
        <f>T72+U72</f>
        <v>0</v>
      </c>
      <c r="W72" s="86">
        <v>5</v>
      </c>
      <c r="X72" s="56"/>
      <c r="Y72" s="56">
        <v>5</v>
      </c>
      <c r="Z72" s="56"/>
      <c r="AA72" s="56"/>
      <c r="AB72" s="57">
        <f t="shared" si="52"/>
        <v>0</v>
      </c>
      <c r="AC72" s="90">
        <f t="shared" si="5"/>
        <v>5</v>
      </c>
      <c r="AD72" s="58">
        <f t="shared" si="6"/>
        <v>0</v>
      </c>
    </row>
    <row r="73" spans="1:30" ht="16.5" thickBot="1" x14ac:dyDescent="0.3">
      <c r="A73" s="95"/>
      <c r="B73" s="118"/>
      <c r="C73" s="69" t="s">
        <v>65</v>
      </c>
      <c r="D73" s="119"/>
      <c r="E73" s="62"/>
      <c r="F73" s="62"/>
      <c r="G73" s="120">
        <f t="shared" ref="G73:I73" si="53">ROUND(SUM(G68:G72),3)</f>
        <v>25668.9</v>
      </c>
      <c r="H73" s="120">
        <f t="shared" si="53"/>
        <v>0</v>
      </c>
      <c r="I73" s="120">
        <f t="shared" si="53"/>
        <v>0</v>
      </c>
      <c r="J73" s="120">
        <f t="shared" ref="J73:AA73" si="54">ROUND(SUM(J68:J72),3)</f>
        <v>0</v>
      </c>
      <c r="K73" s="120"/>
      <c r="L73" s="120">
        <f t="shared" si="54"/>
        <v>11362.9</v>
      </c>
      <c r="M73" s="120">
        <f t="shared" si="54"/>
        <v>37031.800000000003</v>
      </c>
      <c r="N73" s="64"/>
      <c r="O73" s="120">
        <f t="shared" ref="O73:S73" si="55">ROUND(SUM(O68:O72),3)</f>
        <v>15510.1</v>
      </c>
      <c r="P73" s="120">
        <f t="shared" si="55"/>
        <v>11740.1</v>
      </c>
      <c r="Q73" s="120">
        <f t="shared" si="55"/>
        <v>3770</v>
      </c>
      <c r="R73" s="120">
        <f t="shared" si="55"/>
        <v>0</v>
      </c>
      <c r="S73" s="120">
        <f t="shared" si="55"/>
        <v>15510.1</v>
      </c>
      <c r="T73" s="120">
        <f t="shared" si="54"/>
        <v>0</v>
      </c>
      <c r="U73" s="120">
        <f t="shared" si="54"/>
        <v>0</v>
      </c>
      <c r="V73" s="121">
        <f t="shared" si="54"/>
        <v>0</v>
      </c>
      <c r="W73" s="120"/>
      <c r="X73" s="120">
        <f t="shared" si="54"/>
        <v>0</v>
      </c>
      <c r="Y73" s="120">
        <f t="shared" si="54"/>
        <v>24</v>
      </c>
      <c r="Z73" s="120">
        <f t="shared" si="54"/>
        <v>0</v>
      </c>
      <c r="AA73" s="120">
        <f t="shared" si="54"/>
        <v>10</v>
      </c>
      <c r="AB73" s="69"/>
      <c r="AC73" s="123">
        <f t="shared" si="5"/>
        <v>34</v>
      </c>
      <c r="AD73" s="71"/>
    </row>
    <row r="74" spans="1:30" ht="15.75" x14ac:dyDescent="0.25">
      <c r="A74" s="95"/>
      <c r="B74" s="108" t="s">
        <v>42</v>
      </c>
      <c r="C74" s="39" t="s">
        <v>88</v>
      </c>
      <c r="D74" s="73">
        <v>1.7410000000000001</v>
      </c>
      <c r="E74" s="74">
        <v>3778.1</v>
      </c>
      <c r="F74" s="74">
        <f t="shared" ref="F74:F84" si="56">E74*D74</f>
        <v>6577.6721000000007</v>
      </c>
      <c r="G74" s="136">
        <v>4590.3</v>
      </c>
      <c r="H74" s="124"/>
      <c r="I74" s="124"/>
      <c r="J74" s="76"/>
      <c r="K74" s="76"/>
      <c r="L74" s="76">
        <f>381.5-70.3</f>
        <v>311.2</v>
      </c>
      <c r="M74" s="76">
        <f t="shared" ref="M74:M84" si="57">G74+L74</f>
        <v>4901.5</v>
      </c>
      <c r="N74" s="76">
        <f t="shared" ref="N74:N84" si="58">M74-F74</f>
        <v>-1676.1721000000007</v>
      </c>
      <c r="O74" s="76">
        <v>1566.5</v>
      </c>
      <c r="P74" s="124">
        <v>1203.2</v>
      </c>
      <c r="Q74" s="124">
        <v>363.3</v>
      </c>
      <c r="R74" s="124">
        <f>228-36.3</f>
        <v>191.7</v>
      </c>
      <c r="S74" s="77">
        <f t="shared" ref="S74:S84" si="59">O74+R74</f>
        <v>1758.2</v>
      </c>
      <c r="T74" s="124"/>
      <c r="U74" s="124"/>
      <c r="V74" s="111">
        <f>T74+U74</f>
        <v>0</v>
      </c>
      <c r="W74" s="80">
        <v>4</v>
      </c>
      <c r="X74" s="39"/>
      <c r="Y74" s="39">
        <v>3.1</v>
      </c>
      <c r="Z74" s="39"/>
      <c r="AA74" s="39">
        <f>0.9-0.06</f>
        <v>0.84000000000000008</v>
      </c>
      <c r="AB74" s="81">
        <f>(Y74+AA74)-W74</f>
        <v>-5.9999999999999609E-2</v>
      </c>
      <c r="AC74" s="112">
        <f t="shared" si="5"/>
        <v>3.9400000000000004</v>
      </c>
      <c r="AD74" s="82">
        <f t="shared" si="6"/>
        <v>-5.9999999999999609E-2</v>
      </c>
    </row>
    <row r="75" spans="1:30" ht="15.75" x14ac:dyDescent="0.25">
      <c r="A75" s="95"/>
      <c r="B75" s="113"/>
      <c r="C75" s="56" t="s">
        <v>89</v>
      </c>
      <c r="D75" s="47">
        <v>4.4349999999999996</v>
      </c>
      <c r="E75" s="48">
        <v>2730.4</v>
      </c>
      <c r="F75" s="48">
        <f t="shared" si="56"/>
        <v>12109.323999999999</v>
      </c>
      <c r="G75" s="117">
        <v>8854.7000000000007</v>
      </c>
      <c r="H75" s="85"/>
      <c r="I75" s="85"/>
      <c r="J75" s="51"/>
      <c r="K75" s="51"/>
      <c r="L75" s="51">
        <f>1457.8-228.2</f>
        <v>1229.5999999999999</v>
      </c>
      <c r="M75" s="51">
        <f t="shared" si="57"/>
        <v>10084.300000000001</v>
      </c>
      <c r="N75" s="51">
        <f t="shared" si="58"/>
        <v>-2025.0239999999976</v>
      </c>
      <c r="O75" s="51">
        <v>1907.1</v>
      </c>
      <c r="P75" s="85">
        <v>1465.5</v>
      </c>
      <c r="Q75" s="85">
        <v>441.7</v>
      </c>
      <c r="R75" s="85">
        <f>328.2-82.4</f>
        <v>245.79999999999998</v>
      </c>
      <c r="S75" s="52">
        <f t="shared" si="59"/>
        <v>2152.9</v>
      </c>
      <c r="T75" s="85"/>
      <c r="U75" s="85"/>
      <c r="V75" s="116">
        <f>T75+U75</f>
        <v>0</v>
      </c>
      <c r="W75" s="55">
        <v>5</v>
      </c>
      <c r="X75" s="56"/>
      <c r="Y75" s="56">
        <v>4.25</v>
      </c>
      <c r="Z75" s="56"/>
      <c r="AA75" s="56">
        <f>0.8-0.19</f>
        <v>0.6100000000000001</v>
      </c>
      <c r="AB75" s="57">
        <f t="shared" ref="AB75:AB84" si="60">(Y75+AA75)-W75</f>
        <v>-0.13999999999999968</v>
      </c>
      <c r="AC75" s="90">
        <f t="shared" si="5"/>
        <v>4.8600000000000003</v>
      </c>
      <c r="AD75" s="58">
        <f t="shared" si="6"/>
        <v>-0.13999999999999968</v>
      </c>
    </row>
    <row r="76" spans="1:30" ht="15.75" x14ac:dyDescent="0.25">
      <c r="A76" s="95"/>
      <c r="B76" s="113"/>
      <c r="C76" s="87" t="s">
        <v>90</v>
      </c>
      <c r="D76" s="47">
        <v>4.032</v>
      </c>
      <c r="E76" s="48">
        <v>1848.2</v>
      </c>
      <c r="F76" s="48">
        <f t="shared" si="56"/>
        <v>7451.9423999999999</v>
      </c>
      <c r="G76" s="117">
        <v>6183.8</v>
      </c>
      <c r="H76" s="85"/>
      <c r="I76" s="85"/>
      <c r="J76" s="51"/>
      <c r="K76" s="51"/>
      <c r="L76" s="51">
        <f>1325.3-127.8</f>
        <v>1197.5</v>
      </c>
      <c r="M76" s="51">
        <f t="shared" si="57"/>
        <v>7381.3</v>
      </c>
      <c r="N76" s="51">
        <f t="shared" si="58"/>
        <v>-70.642399999999725</v>
      </c>
      <c r="O76" s="51">
        <v>1701.2</v>
      </c>
      <c r="P76" s="85">
        <v>1306.7</v>
      </c>
      <c r="Q76" s="85">
        <v>394.5</v>
      </c>
      <c r="R76" s="85">
        <f>341.9-61.3</f>
        <v>280.59999999999997</v>
      </c>
      <c r="S76" s="52">
        <f t="shared" si="59"/>
        <v>1981.8</v>
      </c>
      <c r="T76" s="85"/>
      <c r="U76" s="85"/>
      <c r="V76" s="116">
        <f>T76+U76</f>
        <v>0</v>
      </c>
      <c r="W76" s="55">
        <v>6</v>
      </c>
      <c r="X76" s="56"/>
      <c r="Y76" s="56">
        <f>4.23</f>
        <v>4.2300000000000004</v>
      </c>
      <c r="Z76" s="56"/>
      <c r="AA76" s="56">
        <f>1-0.11</f>
        <v>0.89</v>
      </c>
      <c r="AB76" s="57">
        <f t="shared" si="60"/>
        <v>-0.87999999999999989</v>
      </c>
      <c r="AC76" s="90">
        <f t="shared" si="5"/>
        <v>5.12</v>
      </c>
      <c r="AD76" s="58">
        <f t="shared" si="6"/>
        <v>-0.87999999999999989</v>
      </c>
    </row>
    <row r="77" spans="1:30" ht="15.75" x14ac:dyDescent="0.25">
      <c r="A77" s="95"/>
      <c r="B77" s="113"/>
      <c r="C77" s="87" t="s">
        <v>91</v>
      </c>
      <c r="D77" s="47">
        <v>4.3250000000000002</v>
      </c>
      <c r="E77" s="48">
        <v>1901.7</v>
      </c>
      <c r="F77" s="48">
        <f t="shared" si="56"/>
        <v>8224.8525000000009</v>
      </c>
      <c r="G77" s="117">
        <v>5969.9</v>
      </c>
      <c r="H77" s="85"/>
      <c r="I77" s="85"/>
      <c r="J77" s="51"/>
      <c r="K77" s="51"/>
      <c r="L77" s="51">
        <f>1184.7-98.6</f>
        <v>1086.1000000000001</v>
      </c>
      <c r="M77" s="51">
        <f t="shared" si="57"/>
        <v>7056</v>
      </c>
      <c r="N77" s="51">
        <f t="shared" si="58"/>
        <v>-1168.8525000000009</v>
      </c>
      <c r="O77" s="51">
        <v>2040.2</v>
      </c>
      <c r="P77" s="85">
        <v>1566.9</v>
      </c>
      <c r="Q77" s="85">
        <v>473.3</v>
      </c>
      <c r="R77" s="85">
        <f>319.1-59.8</f>
        <v>259.3</v>
      </c>
      <c r="S77" s="52">
        <f t="shared" si="59"/>
        <v>2299.5</v>
      </c>
      <c r="T77" s="85"/>
      <c r="U77" s="85"/>
      <c r="V77" s="116">
        <f>T77+U77</f>
        <v>0</v>
      </c>
      <c r="W77" s="55">
        <v>6</v>
      </c>
      <c r="X77" s="56"/>
      <c r="Y77" s="56">
        <v>4.1100000000000003</v>
      </c>
      <c r="Z77" s="56"/>
      <c r="AA77" s="56">
        <f>1-0.08</f>
        <v>0.92</v>
      </c>
      <c r="AB77" s="57">
        <f t="shared" si="60"/>
        <v>-0.96999999999999975</v>
      </c>
      <c r="AC77" s="90">
        <f t="shared" si="5"/>
        <v>5.03</v>
      </c>
      <c r="AD77" s="58">
        <f t="shared" si="6"/>
        <v>-0.96999999999999975</v>
      </c>
    </row>
    <row r="78" spans="1:30" ht="15.75" x14ac:dyDescent="0.25">
      <c r="A78" s="95"/>
      <c r="B78" s="113"/>
      <c r="C78" s="87" t="s">
        <v>92</v>
      </c>
      <c r="D78" s="47">
        <v>6.23</v>
      </c>
      <c r="E78" s="48">
        <v>2552.1999999999998</v>
      </c>
      <c r="F78" s="48">
        <f t="shared" si="56"/>
        <v>15900.206</v>
      </c>
      <c r="G78" s="117">
        <v>10389.9</v>
      </c>
      <c r="H78" s="85"/>
      <c r="I78" s="85"/>
      <c r="J78" s="51"/>
      <c r="K78" s="51"/>
      <c r="L78" s="51">
        <f>2730.5-196.9</f>
        <v>2533.6</v>
      </c>
      <c r="M78" s="51">
        <f t="shared" si="57"/>
        <v>12923.5</v>
      </c>
      <c r="N78" s="51">
        <f t="shared" si="58"/>
        <v>-2976.7060000000001</v>
      </c>
      <c r="O78" s="51">
        <v>1714.1</v>
      </c>
      <c r="P78" s="85">
        <v>1316.5</v>
      </c>
      <c r="Q78" s="85">
        <v>397.6</v>
      </c>
      <c r="R78" s="85">
        <f>478.6-51.2</f>
        <v>427.40000000000003</v>
      </c>
      <c r="S78" s="52">
        <f t="shared" si="59"/>
        <v>2141.5</v>
      </c>
      <c r="T78" s="85"/>
      <c r="U78" s="85"/>
      <c r="V78" s="116"/>
      <c r="W78" s="55">
        <v>6</v>
      </c>
      <c r="X78" s="56"/>
      <c r="Y78" s="56">
        <v>5.16</v>
      </c>
      <c r="Z78" s="56"/>
      <c r="AA78" s="56">
        <f>1-0.16</f>
        <v>0.84</v>
      </c>
      <c r="AB78" s="57">
        <f t="shared" si="60"/>
        <v>0</v>
      </c>
      <c r="AC78" s="90">
        <f t="shared" si="5"/>
        <v>6</v>
      </c>
      <c r="AD78" s="58">
        <f t="shared" si="6"/>
        <v>0</v>
      </c>
    </row>
    <row r="79" spans="1:30" ht="15.75" x14ac:dyDescent="0.25">
      <c r="A79" s="95"/>
      <c r="B79" s="113"/>
      <c r="C79" s="56" t="s">
        <v>93</v>
      </c>
      <c r="D79" s="47">
        <v>2.1949999999999998</v>
      </c>
      <c r="E79" s="48">
        <v>3742.5</v>
      </c>
      <c r="F79" s="48">
        <f t="shared" si="56"/>
        <v>8214.7874999999985</v>
      </c>
      <c r="G79" s="117">
        <v>5619.4</v>
      </c>
      <c r="H79" s="85"/>
      <c r="I79" s="85"/>
      <c r="J79" s="51"/>
      <c r="K79" s="51"/>
      <c r="L79" s="51">
        <f>601.3-97.1</f>
        <v>504.19999999999993</v>
      </c>
      <c r="M79" s="51">
        <f t="shared" si="57"/>
        <v>6123.5999999999995</v>
      </c>
      <c r="N79" s="51">
        <f t="shared" si="58"/>
        <v>-2091.1874999999991</v>
      </c>
      <c r="O79" s="51">
        <v>1893.2</v>
      </c>
      <c r="P79" s="85">
        <v>1454</v>
      </c>
      <c r="Q79" s="85">
        <v>439.2</v>
      </c>
      <c r="R79" s="85">
        <f>228-47.3</f>
        <v>180.7</v>
      </c>
      <c r="S79" s="52">
        <f t="shared" si="59"/>
        <v>2073.9</v>
      </c>
      <c r="T79" s="85"/>
      <c r="U79" s="85"/>
      <c r="V79" s="116">
        <f>T79+U79</f>
        <v>0</v>
      </c>
      <c r="W79" s="55">
        <v>5</v>
      </c>
      <c r="X79" s="56"/>
      <c r="Y79" s="56">
        <v>3.23</v>
      </c>
      <c r="Z79" s="56"/>
      <c r="AA79" s="56">
        <f>1-0.08</f>
        <v>0.92</v>
      </c>
      <c r="AB79" s="57">
        <f t="shared" si="60"/>
        <v>-0.84999999999999964</v>
      </c>
      <c r="AC79" s="90">
        <f t="shared" si="5"/>
        <v>4.1500000000000004</v>
      </c>
      <c r="AD79" s="58">
        <v>-0.8</v>
      </c>
    </row>
    <row r="80" spans="1:30" ht="15.75" x14ac:dyDescent="0.25">
      <c r="A80" s="95"/>
      <c r="B80" s="113"/>
      <c r="C80" s="56" t="s">
        <v>94</v>
      </c>
      <c r="D80" s="47">
        <v>10.273</v>
      </c>
      <c r="E80" s="48">
        <v>4093</v>
      </c>
      <c r="F80" s="48">
        <f t="shared" si="56"/>
        <v>42047.388999999996</v>
      </c>
      <c r="G80" s="117">
        <v>15488.7</v>
      </c>
      <c r="H80" s="85"/>
      <c r="I80" s="85"/>
      <c r="J80" s="51"/>
      <c r="K80" s="51"/>
      <c r="L80" s="51">
        <f>4502.4-162.1</f>
        <v>4340.2999999999993</v>
      </c>
      <c r="M80" s="51">
        <f t="shared" si="57"/>
        <v>19829</v>
      </c>
      <c r="N80" s="51">
        <f t="shared" si="58"/>
        <v>-22218.388999999996</v>
      </c>
      <c r="O80" s="51">
        <v>2140.8000000000002</v>
      </c>
      <c r="P80" s="85">
        <v>1644.3</v>
      </c>
      <c r="Q80" s="85">
        <v>496.5</v>
      </c>
      <c r="R80" s="85">
        <f>405.7-50.8</f>
        <v>354.9</v>
      </c>
      <c r="S80" s="52">
        <f t="shared" si="59"/>
        <v>2495.7000000000003</v>
      </c>
      <c r="T80" s="85"/>
      <c r="U80" s="85"/>
      <c r="V80" s="116"/>
      <c r="W80" s="55">
        <v>6</v>
      </c>
      <c r="X80" s="56"/>
      <c r="Y80" s="56">
        <v>4.17</v>
      </c>
      <c r="Z80" s="56"/>
      <c r="AA80" s="56">
        <f>1.8-0.14</f>
        <v>1.6600000000000001</v>
      </c>
      <c r="AB80" s="57">
        <f t="shared" si="60"/>
        <v>-0.16999999999999993</v>
      </c>
      <c r="AC80" s="90">
        <f t="shared" si="5"/>
        <v>5.83</v>
      </c>
      <c r="AD80" s="58">
        <f t="shared" si="6"/>
        <v>-0.16999999999999993</v>
      </c>
    </row>
    <row r="81" spans="1:30" ht="15.75" x14ac:dyDescent="0.25">
      <c r="A81" s="95"/>
      <c r="B81" s="113"/>
      <c r="C81" s="56" t="s">
        <v>95</v>
      </c>
      <c r="D81" s="47">
        <v>1.1180000000000001</v>
      </c>
      <c r="E81" s="48">
        <v>3278.1</v>
      </c>
      <c r="F81" s="48">
        <f t="shared" si="56"/>
        <v>3664.9158000000002</v>
      </c>
      <c r="G81" s="117">
        <v>3318.6</v>
      </c>
      <c r="H81" s="85"/>
      <c r="I81" s="85"/>
      <c r="J81" s="51"/>
      <c r="K81" s="51"/>
      <c r="L81" s="51">
        <f>306.2-28.8</f>
        <v>277.39999999999998</v>
      </c>
      <c r="M81" s="51">
        <f>G81+L81</f>
        <v>3596</v>
      </c>
      <c r="N81" s="51">
        <f t="shared" si="58"/>
        <v>-68.915800000000218</v>
      </c>
      <c r="O81" s="51">
        <v>1357.8</v>
      </c>
      <c r="P81" s="85">
        <v>1042.8</v>
      </c>
      <c r="Q81" s="85">
        <v>315</v>
      </c>
      <c r="R81" s="85">
        <f>155-15.8</f>
        <v>139.19999999999999</v>
      </c>
      <c r="S81" s="52">
        <f t="shared" si="59"/>
        <v>1497</v>
      </c>
      <c r="T81" s="85"/>
      <c r="U81" s="85"/>
      <c r="V81" s="116">
        <f>T81+U81</f>
        <v>0</v>
      </c>
      <c r="W81" s="55">
        <v>4</v>
      </c>
      <c r="X81" s="56"/>
      <c r="Y81" s="56">
        <v>2.5499999999999998</v>
      </c>
      <c r="Z81" s="56"/>
      <c r="AA81" s="56">
        <f>1-0.02</f>
        <v>0.98</v>
      </c>
      <c r="AB81" s="57">
        <f t="shared" si="60"/>
        <v>-0.4700000000000002</v>
      </c>
      <c r="AC81" s="90">
        <f t="shared" si="5"/>
        <v>3.53</v>
      </c>
      <c r="AD81" s="58">
        <f t="shared" si="6"/>
        <v>-0.4700000000000002</v>
      </c>
    </row>
    <row r="82" spans="1:30" ht="15.75" x14ac:dyDescent="0.25">
      <c r="A82" s="95"/>
      <c r="B82" s="113"/>
      <c r="C82" s="56" t="s">
        <v>96</v>
      </c>
      <c r="D82" s="47">
        <v>3.2890000000000001</v>
      </c>
      <c r="E82" s="48">
        <v>2411.1</v>
      </c>
      <c r="F82" s="48">
        <f t="shared" si="56"/>
        <v>7930.1079</v>
      </c>
      <c r="G82" s="117">
        <v>4752.1000000000004</v>
      </c>
      <c r="H82" s="85"/>
      <c r="I82" s="85"/>
      <c r="J82" s="51"/>
      <c r="K82" s="51"/>
      <c r="L82" s="51">
        <f>1081.1-76.8</f>
        <v>1004.3</v>
      </c>
      <c r="M82" s="51">
        <f t="shared" si="57"/>
        <v>5756.4000000000005</v>
      </c>
      <c r="N82" s="51">
        <f t="shared" si="58"/>
        <v>-2173.7078999999994</v>
      </c>
      <c r="O82" s="51">
        <v>1544.7</v>
      </c>
      <c r="P82" s="85">
        <v>1186.4000000000001</v>
      </c>
      <c r="Q82" s="85">
        <v>358.3</v>
      </c>
      <c r="R82" s="85">
        <f>300.9-14.1</f>
        <v>286.79999999999995</v>
      </c>
      <c r="S82" s="52">
        <f t="shared" si="59"/>
        <v>1831.5</v>
      </c>
      <c r="T82" s="85"/>
      <c r="U82" s="85"/>
      <c r="V82" s="116"/>
      <c r="W82" s="55">
        <v>5</v>
      </c>
      <c r="X82" s="56"/>
      <c r="Y82" s="56">
        <v>3.08</v>
      </c>
      <c r="Z82" s="56"/>
      <c r="AA82" s="56">
        <f>0.6-0.06</f>
        <v>0.54</v>
      </c>
      <c r="AB82" s="57">
        <f t="shared" si="60"/>
        <v>-1.38</v>
      </c>
      <c r="AC82" s="90">
        <f t="shared" si="5"/>
        <v>3.62</v>
      </c>
      <c r="AD82" s="58">
        <f t="shared" si="6"/>
        <v>-1.38</v>
      </c>
    </row>
    <row r="83" spans="1:30" ht="16.5" customHeight="1" x14ac:dyDescent="0.25">
      <c r="A83" s="95"/>
      <c r="B83" s="113"/>
      <c r="C83" s="56" t="s">
        <v>97</v>
      </c>
      <c r="D83" s="47">
        <v>1.1399999999999999</v>
      </c>
      <c r="E83" s="48">
        <v>4938.5</v>
      </c>
      <c r="F83" s="48">
        <f t="shared" si="56"/>
        <v>5629.8899999999994</v>
      </c>
      <c r="G83" s="117">
        <v>4115.8</v>
      </c>
      <c r="H83" s="85"/>
      <c r="I83" s="85"/>
      <c r="J83" s="51"/>
      <c r="K83" s="51"/>
      <c r="L83" s="51">
        <f>312.3-69.9</f>
        <v>242.4</v>
      </c>
      <c r="M83" s="51">
        <f t="shared" si="57"/>
        <v>4358.2</v>
      </c>
      <c r="N83" s="51">
        <f t="shared" si="58"/>
        <v>-1271.6899999999996</v>
      </c>
      <c r="O83" s="51">
        <v>1449.9</v>
      </c>
      <c r="P83" s="85">
        <v>1113.5999999999999</v>
      </c>
      <c r="Q83" s="85">
        <v>336.3</v>
      </c>
      <c r="R83" s="85">
        <f>173.2-30.9</f>
        <v>142.29999999999998</v>
      </c>
      <c r="S83" s="52">
        <f t="shared" si="59"/>
        <v>1592.2</v>
      </c>
      <c r="T83" s="85"/>
      <c r="U83" s="85"/>
      <c r="V83" s="116">
        <f>T83+U83</f>
        <v>0</v>
      </c>
      <c r="W83" s="55">
        <v>4</v>
      </c>
      <c r="X83" s="56"/>
      <c r="Y83" s="56">
        <v>2.06</v>
      </c>
      <c r="Z83" s="56"/>
      <c r="AA83" s="56">
        <f>1-0.06</f>
        <v>0.94</v>
      </c>
      <c r="AB83" s="57">
        <f t="shared" si="60"/>
        <v>-1</v>
      </c>
      <c r="AC83" s="90">
        <f t="shared" si="5"/>
        <v>3</v>
      </c>
      <c r="AD83" s="58">
        <f t="shared" si="6"/>
        <v>-1</v>
      </c>
    </row>
    <row r="84" spans="1:30" ht="16.5" customHeight="1" x14ac:dyDescent="0.25">
      <c r="A84" s="95"/>
      <c r="B84" s="113"/>
      <c r="C84" s="56" t="s">
        <v>98</v>
      </c>
      <c r="D84" s="47">
        <v>1.7</v>
      </c>
      <c r="E84" s="48">
        <v>3081.3</v>
      </c>
      <c r="F84" s="48">
        <f t="shared" si="56"/>
        <v>5238.21</v>
      </c>
      <c r="G84" s="117">
        <v>3828.9</v>
      </c>
      <c r="H84" s="85"/>
      <c r="I84" s="85"/>
      <c r="J84" s="51"/>
      <c r="K84" s="51"/>
      <c r="L84" s="51">
        <f>465.7-53.1</f>
        <v>412.59999999999997</v>
      </c>
      <c r="M84" s="51">
        <f t="shared" si="57"/>
        <v>4241.5</v>
      </c>
      <c r="N84" s="51">
        <f t="shared" si="58"/>
        <v>-996.71</v>
      </c>
      <c r="O84" s="51">
        <v>1470.2</v>
      </c>
      <c r="P84" s="85">
        <v>1129.4000000000001</v>
      </c>
      <c r="Q84" s="85">
        <v>341.1</v>
      </c>
      <c r="R84" s="85">
        <f>232.5-5.5</f>
        <v>227</v>
      </c>
      <c r="S84" s="52">
        <f t="shared" si="59"/>
        <v>1697.2</v>
      </c>
      <c r="T84" s="85"/>
      <c r="U84" s="85"/>
      <c r="V84" s="116">
        <f>T84+U84</f>
        <v>0</v>
      </c>
      <c r="W84" s="55">
        <v>4</v>
      </c>
      <c r="X84" s="56"/>
      <c r="Y84" s="56">
        <v>3.09</v>
      </c>
      <c r="Z84" s="56"/>
      <c r="AA84" s="56">
        <f>0.9-0.04</f>
        <v>0.86</v>
      </c>
      <c r="AB84" s="57">
        <f t="shared" si="60"/>
        <v>-5.0000000000000266E-2</v>
      </c>
      <c r="AC84" s="90">
        <f t="shared" si="5"/>
        <v>3.9499999999999997</v>
      </c>
      <c r="AD84" s="58">
        <f t="shared" si="6"/>
        <v>-5.0000000000000266E-2</v>
      </c>
    </row>
    <row r="85" spans="1:30" ht="22.5" customHeight="1" thickBot="1" x14ac:dyDescent="0.3">
      <c r="A85" s="95"/>
      <c r="B85" s="118"/>
      <c r="C85" s="69" t="s">
        <v>65</v>
      </c>
      <c r="D85" s="137"/>
      <c r="E85" s="62"/>
      <c r="F85" s="62"/>
      <c r="G85" s="123">
        <f>ROUND(SUM(G74:G84),3)</f>
        <v>73112.100000000006</v>
      </c>
      <c r="H85" s="123">
        <f t="shared" ref="H85:M85" si="61">ROUND(SUM(H74:H84),3)</f>
        <v>0</v>
      </c>
      <c r="I85" s="123">
        <f t="shared" si="61"/>
        <v>0</v>
      </c>
      <c r="J85" s="123">
        <f t="shared" si="61"/>
        <v>0</v>
      </c>
      <c r="K85" s="123">
        <f t="shared" si="61"/>
        <v>0</v>
      </c>
      <c r="L85" s="123">
        <f t="shared" si="61"/>
        <v>13139.2</v>
      </c>
      <c r="M85" s="123">
        <f t="shared" si="61"/>
        <v>86251.3</v>
      </c>
      <c r="N85" s="64"/>
      <c r="O85" s="123">
        <f t="shared" ref="O85:S85" si="62">ROUND(SUM(O74:O84),3)</f>
        <v>18785.7</v>
      </c>
      <c r="P85" s="123">
        <f t="shared" si="62"/>
        <v>14429.3</v>
      </c>
      <c r="Q85" s="123">
        <f t="shared" si="62"/>
        <v>4356.8</v>
      </c>
      <c r="R85" s="123">
        <f t="shared" si="62"/>
        <v>2735.7</v>
      </c>
      <c r="S85" s="123">
        <f t="shared" si="62"/>
        <v>21521.4</v>
      </c>
      <c r="T85" s="123">
        <f>ROUND(SUM(T74:T84),3)</f>
        <v>0</v>
      </c>
      <c r="U85" s="123">
        <f>ROUND(SUM(U74:U84),3)</f>
        <v>0</v>
      </c>
      <c r="V85" s="138">
        <f>ROUND(SUM(V74:V84),3)</f>
        <v>0</v>
      </c>
      <c r="W85" s="94"/>
      <c r="X85" s="123">
        <f t="shared" ref="X85:AA85" si="63">ROUND(SUM(X74:X84),3)</f>
        <v>0</v>
      </c>
      <c r="Y85" s="123">
        <f t="shared" si="63"/>
        <v>39.03</v>
      </c>
      <c r="Z85" s="123">
        <f t="shared" si="63"/>
        <v>0</v>
      </c>
      <c r="AA85" s="123">
        <f t="shared" si="63"/>
        <v>10</v>
      </c>
      <c r="AB85" s="69"/>
      <c r="AC85" s="123">
        <f t="shared" si="5"/>
        <v>49.03</v>
      </c>
      <c r="AD85" s="71"/>
    </row>
    <row r="86" spans="1:30" ht="16.5" customHeight="1" x14ac:dyDescent="0.25">
      <c r="A86" s="95"/>
      <c r="B86" s="139" t="s">
        <v>43</v>
      </c>
      <c r="C86" s="140" t="s">
        <v>99</v>
      </c>
      <c r="D86" s="141">
        <v>3.7050000000000001</v>
      </c>
      <c r="E86" s="142">
        <v>733.1</v>
      </c>
      <c r="F86" s="142">
        <f t="shared" ref="F86:F90" si="64">E86*D86</f>
        <v>2716.1355000000003</v>
      </c>
      <c r="G86" s="143">
        <v>2401.1999999999998</v>
      </c>
      <c r="H86" s="144"/>
      <c r="I86" s="144"/>
      <c r="J86" s="145"/>
      <c r="K86" s="145"/>
      <c r="L86" s="145">
        <v>2</v>
      </c>
      <c r="M86" s="145">
        <f>G86+L86</f>
        <v>2403.1999999999998</v>
      </c>
      <c r="N86" s="145">
        <f>M86-F86</f>
        <v>-312.9355000000005</v>
      </c>
      <c r="O86" s="145">
        <v>767.7</v>
      </c>
      <c r="P86" s="144">
        <v>590.6</v>
      </c>
      <c r="Q86" s="144">
        <v>177.1</v>
      </c>
      <c r="R86" s="144"/>
      <c r="S86" s="146">
        <f t="shared" ref="S86:S90" si="65">O86+R86</f>
        <v>767.7</v>
      </c>
      <c r="T86" s="144"/>
      <c r="U86" s="144"/>
      <c r="V86" s="147">
        <f>T86+U86</f>
        <v>0</v>
      </c>
      <c r="W86" s="148">
        <v>2</v>
      </c>
      <c r="X86" s="140"/>
      <c r="Y86" s="140">
        <v>1.5</v>
      </c>
      <c r="Z86" s="140"/>
      <c r="AA86" s="140"/>
      <c r="AB86" s="149">
        <f t="shared" ref="AB86:AB90" si="66">(Y86+AA86)-W86</f>
        <v>-0.5</v>
      </c>
      <c r="AC86" s="150">
        <f t="shared" si="5"/>
        <v>1.5</v>
      </c>
      <c r="AD86" s="151">
        <f t="shared" si="6"/>
        <v>-0.5</v>
      </c>
    </row>
    <row r="87" spans="1:30" ht="16.5" customHeight="1" x14ac:dyDescent="0.25">
      <c r="A87" s="95"/>
      <c r="B87" s="113"/>
      <c r="C87" s="87" t="s">
        <v>100</v>
      </c>
      <c r="D87" s="47">
        <v>1.7769999999999999</v>
      </c>
      <c r="E87" s="48">
        <v>3369.2</v>
      </c>
      <c r="F87" s="48">
        <f t="shared" si="64"/>
        <v>5987.0683999999992</v>
      </c>
      <c r="G87" s="117">
        <v>5983.1</v>
      </c>
      <c r="H87" s="85"/>
      <c r="I87" s="85"/>
      <c r="J87" s="51"/>
      <c r="K87" s="51"/>
      <c r="L87" s="51">
        <v>4</v>
      </c>
      <c r="M87" s="51">
        <f>G87+L87</f>
        <v>5987.1</v>
      </c>
      <c r="N87" s="145">
        <f>M87-F87</f>
        <v>3.1600000001162698E-2</v>
      </c>
      <c r="O87" s="51">
        <v>2208.1</v>
      </c>
      <c r="P87" s="85">
        <v>1687.9</v>
      </c>
      <c r="Q87" s="85">
        <v>520.20000000000005</v>
      </c>
      <c r="R87" s="85"/>
      <c r="S87" s="52">
        <f t="shared" si="65"/>
        <v>2208.1</v>
      </c>
      <c r="T87" s="85"/>
      <c r="U87" s="85"/>
      <c r="V87" s="116">
        <f>T87+U87</f>
        <v>0</v>
      </c>
      <c r="W87" s="55">
        <v>5</v>
      </c>
      <c r="X87" s="56"/>
      <c r="Y87" s="56">
        <v>5</v>
      </c>
      <c r="Z87" s="56"/>
      <c r="AA87" s="56"/>
      <c r="AB87" s="57">
        <f t="shared" si="66"/>
        <v>0</v>
      </c>
      <c r="AC87" s="90">
        <f t="shared" si="5"/>
        <v>5</v>
      </c>
      <c r="AD87" s="58">
        <f t="shared" si="6"/>
        <v>0</v>
      </c>
    </row>
    <row r="88" spans="1:30" ht="16.5" customHeight="1" x14ac:dyDescent="0.25">
      <c r="A88" s="95"/>
      <c r="B88" s="113"/>
      <c r="C88" s="56" t="s">
        <v>101</v>
      </c>
      <c r="D88" s="47">
        <v>0.82299999999999995</v>
      </c>
      <c r="E88" s="48">
        <v>4070.6</v>
      </c>
      <c r="F88" s="48">
        <f t="shared" si="64"/>
        <v>3350.1037999999999</v>
      </c>
      <c r="G88" s="117">
        <v>3220.5</v>
      </c>
      <c r="H88" s="85"/>
      <c r="I88" s="85"/>
      <c r="J88" s="51"/>
      <c r="K88" s="51"/>
      <c r="L88" s="51">
        <v>4</v>
      </c>
      <c r="M88" s="51">
        <f>G88+L88</f>
        <v>3224.5</v>
      </c>
      <c r="N88" s="51">
        <f>M88-F88</f>
        <v>-125.60379999999986</v>
      </c>
      <c r="O88" s="51">
        <v>984.5</v>
      </c>
      <c r="P88" s="85">
        <v>756.4</v>
      </c>
      <c r="Q88" s="85">
        <v>228.1</v>
      </c>
      <c r="R88" s="85"/>
      <c r="S88" s="52">
        <f t="shared" si="65"/>
        <v>984.5</v>
      </c>
      <c r="T88" s="85"/>
      <c r="U88" s="85"/>
      <c r="V88" s="116">
        <f>T88+U88</f>
        <v>0</v>
      </c>
      <c r="W88" s="55">
        <v>4</v>
      </c>
      <c r="X88" s="56"/>
      <c r="Y88" s="56">
        <v>2</v>
      </c>
      <c r="Z88" s="56"/>
      <c r="AA88" s="56"/>
      <c r="AB88" s="57">
        <f t="shared" si="66"/>
        <v>-2</v>
      </c>
      <c r="AC88" s="90">
        <f t="shared" ref="AC88:AC153" si="67">Y88+AA88</f>
        <v>2</v>
      </c>
      <c r="AD88" s="58">
        <f t="shared" ref="AD88:AD153" si="68">AC88-W88</f>
        <v>-2</v>
      </c>
    </row>
    <row r="89" spans="1:30" ht="16.5" customHeight="1" x14ac:dyDescent="0.25">
      <c r="A89" s="95"/>
      <c r="B89" s="113"/>
      <c r="C89" s="56" t="s">
        <v>102</v>
      </c>
      <c r="D89" s="47">
        <v>0.51900000000000002</v>
      </c>
      <c r="E89" s="48">
        <v>4662.3999999999996</v>
      </c>
      <c r="F89" s="48">
        <f t="shared" si="64"/>
        <v>2419.7855999999997</v>
      </c>
      <c r="G89" s="117">
        <v>2415.8000000000002</v>
      </c>
      <c r="H89" s="85"/>
      <c r="I89" s="85"/>
      <c r="J89" s="51"/>
      <c r="K89" s="51"/>
      <c r="L89" s="51">
        <v>4</v>
      </c>
      <c r="M89" s="51">
        <f>G89+L89</f>
        <v>2419.8000000000002</v>
      </c>
      <c r="N89" s="51">
        <f t="shared" ref="N89:N90" si="69">M89-F89</f>
        <v>1.440000000047803E-2</v>
      </c>
      <c r="O89" s="51">
        <v>848.4</v>
      </c>
      <c r="P89" s="85">
        <v>658.1</v>
      </c>
      <c r="Q89" s="85">
        <v>190.3</v>
      </c>
      <c r="R89" s="85"/>
      <c r="S89" s="52">
        <f t="shared" si="65"/>
        <v>848.4</v>
      </c>
      <c r="T89" s="85"/>
      <c r="U89" s="85"/>
      <c r="V89" s="116">
        <f>T89+U89</f>
        <v>0</v>
      </c>
      <c r="W89" s="55">
        <v>3</v>
      </c>
      <c r="X89" s="56"/>
      <c r="Y89" s="56">
        <v>2</v>
      </c>
      <c r="Z89" s="56"/>
      <c r="AA89" s="56"/>
      <c r="AB89" s="57">
        <f t="shared" si="66"/>
        <v>-1</v>
      </c>
      <c r="AC89" s="90">
        <f t="shared" si="67"/>
        <v>2</v>
      </c>
      <c r="AD89" s="58">
        <f t="shared" si="68"/>
        <v>-1</v>
      </c>
    </row>
    <row r="90" spans="1:30" ht="16.5" customHeight="1" x14ac:dyDescent="0.25">
      <c r="A90" s="95"/>
      <c r="B90" s="113"/>
      <c r="C90" s="56" t="s">
        <v>103</v>
      </c>
      <c r="D90" s="47">
        <v>0.51200000000000001</v>
      </c>
      <c r="E90" s="48">
        <v>5492.4</v>
      </c>
      <c r="F90" s="48">
        <f t="shared" si="64"/>
        <v>2812.1088</v>
      </c>
      <c r="G90" s="117">
        <v>2694.9</v>
      </c>
      <c r="H90" s="85"/>
      <c r="I90" s="85"/>
      <c r="J90" s="51"/>
      <c r="K90" s="51"/>
      <c r="L90" s="51">
        <v>4</v>
      </c>
      <c r="M90" s="51">
        <f>G90+L90</f>
        <v>2698.9</v>
      </c>
      <c r="N90" s="51">
        <f t="shared" si="69"/>
        <v>-113.20879999999988</v>
      </c>
      <c r="O90" s="51">
        <v>663.3</v>
      </c>
      <c r="P90" s="85">
        <v>520.5</v>
      </c>
      <c r="Q90" s="85">
        <v>142.80000000000001</v>
      </c>
      <c r="R90" s="85"/>
      <c r="S90" s="52">
        <f t="shared" si="65"/>
        <v>663.3</v>
      </c>
      <c r="T90" s="85"/>
      <c r="U90" s="85"/>
      <c r="V90" s="116">
        <f>T90+U90</f>
        <v>0</v>
      </c>
      <c r="W90" s="55">
        <v>3</v>
      </c>
      <c r="X90" s="56"/>
      <c r="Y90" s="56">
        <v>2</v>
      </c>
      <c r="Z90" s="56"/>
      <c r="AA90" s="56"/>
      <c r="AB90" s="57">
        <f t="shared" si="66"/>
        <v>-1</v>
      </c>
      <c r="AC90" s="90">
        <f t="shared" si="67"/>
        <v>2</v>
      </c>
      <c r="AD90" s="58">
        <f t="shared" si="68"/>
        <v>-1</v>
      </c>
    </row>
    <row r="91" spans="1:30" ht="16.5" customHeight="1" thickBot="1" x14ac:dyDescent="0.3">
      <c r="A91" s="95"/>
      <c r="B91" s="118"/>
      <c r="C91" s="69" t="s">
        <v>65</v>
      </c>
      <c r="D91" s="137"/>
      <c r="E91" s="62"/>
      <c r="F91" s="62"/>
      <c r="G91" s="123">
        <f t="shared" ref="G91:V91" si="70">ROUND(SUM(G86:G90),3)</f>
        <v>16715.5</v>
      </c>
      <c r="H91" s="123">
        <f t="shared" si="70"/>
        <v>0</v>
      </c>
      <c r="I91" s="123">
        <f t="shared" si="70"/>
        <v>0</v>
      </c>
      <c r="J91" s="123">
        <f t="shared" si="70"/>
        <v>0</v>
      </c>
      <c r="K91" s="123">
        <f t="shared" si="70"/>
        <v>0</v>
      </c>
      <c r="L91" s="123">
        <f t="shared" si="70"/>
        <v>18</v>
      </c>
      <c r="M91" s="123">
        <f t="shared" si="70"/>
        <v>16733.5</v>
      </c>
      <c r="N91" s="64"/>
      <c r="O91" s="123">
        <f t="shared" ref="O91:S91" si="71">ROUND(SUM(O86:O90),3)</f>
        <v>5472</v>
      </c>
      <c r="P91" s="123">
        <f t="shared" si="71"/>
        <v>4213.5</v>
      </c>
      <c r="Q91" s="123">
        <f t="shared" si="71"/>
        <v>1258.5</v>
      </c>
      <c r="R91" s="123">
        <f t="shared" si="71"/>
        <v>0</v>
      </c>
      <c r="S91" s="123">
        <f t="shared" si="71"/>
        <v>5472</v>
      </c>
      <c r="T91" s="123">
        <f t="shared" si="70"/>
        <v>0</v>
      </c>
      <c r="U91" s="123">
        <f t="shared" si="70"/>
        <v>0</v>
      </c>
      <c r="V91" s="138">
        <f t="shared" si="70"/>
        <v>0</v>
      </c>
      <c r="W91" s="94"/>
      <c r="X91" s="152">
        <f t="shared" ref="X91:AA91" si="72">ROUND(SUM(X86:X90),3)</f>
        <v>0</v>
      </c>
      <c r="Y91" s="123">
        <f t="shared" si="72"/>
        <v>12.5</v>
      </c>
      <c r="Z91" s="123">
        <f t="shared" si="72"/>
        <v>0</v>
      </c>
      <c r="AA91" s="123">
        <f t="shared" si="72"/>
        <v>0</v>
      </c>
      <c r="AB91" s="69"/>
      <c r="AC91" s="123">
        <f t="shared" si="67"/>
        <v>12.5</v>
      </c>
      <c r="AD91" s="71"/>
    </row>
    <row r="92" spans="1:30" ht="16.5" customHeight="1" x14ac:dyDescent="0.25">
      <c r="A92" s="95"/>
      <c r="B92" s="153" t="s">
        <v>44</v>
      </c>
      <c r="C92" s="56" t="s">
        <v>104</v>
      </c>
      <c r="D92" s="47">
        <v>0.97299999999999998</v>
      </c>
      <c r="E92" s="48">
        <v>4027.8</v>
      </c>
      <c r="F92" s="48">
        <f t="shared" ref="F92:F136" si="73">E92*D92</f>
        <v>3919.0493999999999</v>
      </c>
      <c r="G92" s="117">
        <v>3828.9</v>
      </c>
      <c r="H92" s="85"/>
      <c r="I92" s="85"/>
      <c r="J92" s="51"/>
      <c r="K92" s="51"/>
      <c r="L92" s="51">
        <v>90.1</v>
      </c>
      <c r="M92" s="51">
        <f t="shared" ref="M92:M97" si="74">G92+L92</f>
        <v>3919</v>
      </c>
      <c r="N92" s="51">
        <f t="shared" ref="N92:N97" si="75">M92-F92</f>
        <v>-4.9399999999877764E-2</v>
      </c>
      <c r="O92" s="51">
        <v>1473.8</v>
      </c>
      <c r="P92" s="85">
        <v>1100</v>
      </c>
      <c r="Q92" s="85">
        <v>373.8</v>
      </c>
      <c r="R92" s="85"/>
      <c r="S92" s="52">
        <f t="shared" ref="S92:S97" si="76">O92+R92</f>
        <v>1473.8</v>
      </c>
      <c r="T92" s="85"/>
      <c r="U92" s="85"/>
      <c r="V92" s="116">
        <f t="shared" ref="V92:V97" si="77">T92+U92</f>
        <v>0</v>
      </c>
      <c r="W92" s="55">
        <v>4</v>
      </c>
      <c r="X92" s="56"/>
      <c r="Y92" s="56">
        <v>3</v>
      </c>
      <c r="Z92" s="56"/>
      <c r="AA92" s="56"/>
      <c r="AB92" s="57">
        <f t="shared" ref="AB92:AB97" si="78">(Y92+AA92)-W92</f>
        <v>-1</v>
      </c>
      <c r="AC92" s="90">
        <f t="shared" si="67"/>
        <v>3</v>
      </c>
      <c r="AD92" s="58">
        <f t="shared" si="68"/>
        <v>-1</v>
      </c>
    </row>
    <row r="93" spans="1:30" ht="16.5" customHeight="1" x14ac:dyDescent="0.25">
      <c r="A93" s="95"/>
      <c r="B93" s="154"/>
      <c r="C93" s="56" t="s">
        <v>105</v>
      </c>
      <c r="D93" s="47">
        <v>1.085</v>
      </c>
      <c r="E93" s="48">
        <v>4228.3999999999996</v>
      </c>
      <c r="F93" s="48">
        <f t="shared" si="73"/>
        <v>4587.8139999999994</v>
      </c>
      <c r="G93" s="117">
        <v>4320.8999999999996</v>
      </c>
      <c r="H93" s="85"/>
      <c r="I93" s="85"/>
      <c r="J93" s="51"/>
      <c r="K93" s="51"/>
      <c r="L93" s="51">
        <v>58.7</v>
      </c>
      <c r="M93" s="51">
        <f t="shared" si="74"/>
        <v>4379.5999999999995</v>
      </c>
      <c r="N93" s="51">
        <f t="shared" si="75"/>
        <v>-208.21399999999994</v>
      </c>
      <c r="O93" s="51">
        <v>1441.8</v>
      </c>
      <c r="P93" s="85">
        <v>1113.2</v>
      </c>
      <c r="Q93" s="85">
        <v>328.6</v>
      </c>
      <c r="R93" s="85"/>
      <c r="S93" s="52">
        <f t="shared" si="76"/>
        <v>1441.8</v>
      </c>
      <c r="T93" s="85"/>
      <c r="U93" s="85"/>
      <c r="V93" s="116">
        <f t="shared" si="77"/>
        <v>0</v>
      </c>
      <c r="W93" s="55">
        <v>4</v>
      </c>
      <c r="X93" s="56"/>
      <c r="Y93" s="56">
        <v>4</v>
      </c>
      <c r="Z93" s="56"/>
      <c r="AA93" s="56"/>
      <c r="AB93" s="57">
        <f t="shared" si="78"/>
        <v>0</v>
      </c>
      <c r="AC93" s="90">
        <f t="shared" si="67"/>
        <v>4</v>
      </c>
      <c r="AD93" s="58">
        <f t="shared" si="68"/>
        <v>0</v>
      </c>
    </row>
    <row r="94" spans="1:30" ht="16.5" customHeight="1" x14ac:dyDescent="0.25">
      <c r="A94" s="95"/>
      <c r="B94" s="154"/>
      <c r="C94" s="87" t="s">
        <v>106</v>
      </c>
      <c r="D94" s="47">
        <v>0.436</v>
      </c>
      <c r="E94" s="48">
        <v>5148.7</v>
      </c>
      <c r="F94" s="48">
        <f t="shared" si="73"/>
        <v>2244.8332</v>
      </c>
      <c r="G94" s="117">
        <v>2166.1</v>
      </c>
      <c r="H94" s="85"/>
      <c r="I94" s="85"/>
      <c r="J94" s="51"/>
      <c r="K94" s="51"/>
      <c r="L94" s="51">
        <v>58.7</v>
      </c>
      <c r="M94" s="51">
        <f t="shared" si="74"/>
        <v>2224.7999999999997</v>
      </c>
      <c r="N94" s="51">
        <f t="shared" si="75"/>
        <v>-20.033200000000306</v>
      </c>
      <c r="O94" s="51">
        <v>706</v>
      </c>
      <c r="P94" s="85">
        <v>542.20000000000005</v>
      </c>
      <c r="Q94" s="85">
        <v>163.80000000000001</v>
      </c>
      <c r="R94" s="85"/>
      <c r="S94" s="52">
        <f t="shared" si="76"/>
        <v>706</v>
      </c>
      <c r="T94" s="85"/>
      <c r="U94" s="85"/>
      <c r="V94" s="116">
        <f t="shared" si="77"/>
        <v>0</v>
      </c>
      <c r="W94" s="55">
        <v>3</v>
      </c>
      <c r="X94" s="56"/>
      <c r="Y94" s="56">
        <v>3</v>
      </c>
      <c r="Z94" s="56"/>
      <c r="AA94" s="56"/>
      <c r="AB94" s="57">
        <f t="shared" si="78"/>
        <v>0</v>
      </c>
      <c r="AC94" s="90">
        <f t="shared" si="67"/>
        <v>3</v>
      </c>
      <c r="AD94" s="58">
        <f t="shared" si="68"/>
        <v>0</v>
      </c>
    </row>
    <row r="95" spans="1:30" ht="16.5" customHeight="1" x14ac:dyDescent="0.25">
      <c r="A95" s="95"/>
      <c r="B95" s="154"/>
      <c r="C95" s="56" t="s">
        <v>107</v>
      </c>
      <c r="D95" s="47">
        <v>1.5129999999999999</v>
      </c>
      <c r="E95" s="48">
        <v>2708.4</v>
      </c>
      <c r="F95" s="48">
        <f t="shared" si="73"/>
        <v>4097.8091999999997</v>
      </c>
      <c r="G95" s="117">
        <v>4007.6</v>
      </c>
      <c r="H95" s="85"/>
      <c r="I95" s="85"/>
      <c r="J95" s="51"/>
      <c r="K95" s="51"/>
      <c r="L95" s="51">
        <v>90.2</v>
      </c>
      <c r="M95" s="51">
        <f t="shared" si="74"/>
        <v>4097.8</v>
      </c>
      <c r="N95" s="51">
        <f t="shared" si="75"/>
        <v>-9.1999999995096005E-3</v>
      </c>
      <c r="O95" s="51">
        <v>1726.6</v>
      </c>
      <c r="P95" s="85">
        <v>1330.4</v>
      </c>
      <c r="Q95" s="85">
        <v>396.2</v>
      </c>
      <c r="R95" s="85"/>
      <c r="S95" s="52">
        <f t="shared" si="76"/>
        <v>1726.6</v>
      </c>
      <c r="T95" s="85"/>
      <c r="U95" s="85"/>
      <c r="V95" s="116">
        <f t="shared" si="77"/>
        <v>0</v>
      </c>
      <c r="W95" s="55">
        <v>4</v>
      </c>
      <c r="X95" s="56"/>
      <c r="Y95" s="56">
        <v>4</v>
      </c>
      <c r="Z95" s="56"/>
      <c r="AA95" s="56"/>
      <c r="AB95" s="57">
        <f t="shared" si="78"/>
        <v>0</v>
      </c>
      <c r="AC95" s="90">
        <f t="shared" si="67"/>
        <v>4</v>
      </c>
      <c r="AD95" s="58">
        <f t="shared" si="68"/>
        <v>0</v>
      </c>
    </row>
    <row r="96" spans="1:30" ht="16.5" customHeight="1" x14ac:dyDescent="0.25">
      <c r="A96" s="95"/>
      <c r="B96" s="154"/>
      <c r="C96" s="56" t="s">
        <v>108</v>
      </c>
      <c r="D96" s="47">
        <v>2.3199999999999998</v>
      </c>
      <c r="E96" s="48">
        <v>2549.1</v>
      </c>
      <c r="F96" s="48">
        <f t="shared" si="73"/>
        <v>5913.9119999999994</v>
      </c>
      <c r="G96" s="117">
        <v>5847.3</v>
      </c>
      <c r="H96" s="85"/>
      <c r="I96" s="85"/>
      <c r="J96" s="51"/>
      <c r="K96" s="51"/>
      <c r="L96" s="51">
        <v>66.599999999999994</v>
      </c>
      <c r="M96" s="51">
        <f t="shared" si="74"/>
        <v>5913.9000000000005</v>
      </c>
      <c r="N96" s="51">
        <f t="shared" si="75"/>
        <v>-1.1999999998806743E-2</v>
      </c>
      <c r="O96" s="51"/>
      <c r="P96" s="85"/>
      <c r="Q96" s="85"/>
      <c r="R96" s="85"/>
      <c r="S96" s="52"/>
      <c r="T96" s="85"/>
      <c r="U96" s="85"/>
      <c r="V96" s="116"/>
      <c r="W96" s="55">
        <v>5</v>
      </c>
      <c r="X96" s="56"/>
      <c r="Y96" s="56">
        <v>4</v>
      </c>
      <c r="Z96" s="56"/>
      <c r="AA96" s="56"/>
      <c r="AB96" s="57">
        <f t="shared" si="78"/>
        <v>-1</v>
      </c>
      <c r="AC96" s="90">
        <f t="shared" si="67"/>
        <v>4</v>
      </c>
      <c r="AD96" s="58">
        <f t="shared" si="68"/>
        <v>-1</v>
      </c>
    </row>
    <row r="97" spans="1:30" ht="15.75" x14ac:dyDescent="0.25">
      <c r="A97" s="95"/>
      <c r="B97" s="154"/>
      <c r="C97" s="56" t="s">
        <v>109</v>
      </c>
      <c r="D97" s="47">
        <v>1.0409999999999999</v>
      </c>
      <c r="E97" s="48">
        <v>3449.5</v>
      </c>
      <c r="F97" s="48">
        <f t="shared" si="73"/>
        <v>3590.9294999999997</v>
      </c>
      <c r="G97" s="117">
        <v>3522.9</v>
      </c>
      <c r="H97" s="85"/>
      <c r="I97" s="85"/>
      <c r="J97" s="51"/>
      <c r="K97" s="51"/>
      <c r="L97" s="51">
        <v>58.7</v>
      </c>
      <c r="M97" s="51">
        <f t="shared" si="74"/>
        <v>3581.6</v>
      </c>
      <c r="N97" s="51">
        <f t="shared" si="75"/>
        <v>-9.3294999999998254</v>
      </c>
      <c r="O97" s="51">
        <v>1177.0999999999999</v>
      </c>
      <c r="P97" s="85">
        <v>904.7</v>
      </c>
      <c r="Q97" s="85">
        <v>272.39999999999998</v>
      </c>
      <c r="R97" s="85"/>
      <c r="S97" s="52">
        <f t="shared" si="76"/>
        <v>1177.0999999999999</v>
      </c>
      <c r="T97" s="85"/>
      <c r="U97" s="85"/>
      <c r="V97" s="116">
        <f t="shared" si="77"/>
        <v>0</v>
      </c>
      <c r="W97" s="55">
        <v>4</v>
      </c>
      <c r="X97" s="56"/>
      <c r="Y97" s="56">
        <v>3</v>
      </c>
      <c r="Z97" s="56"/>
      <c r="AA97" s="56"/>
      <c r="AB97" s="57">
        <f t="shared" si="78"/>
        <v>-1</v>
      </c>
      <c r="AC97" s="90">
        <f t="shared" si="67"/>
        <v>3</v>
      </c>
      <c r="AD97" s="58">
        <f t="shared" si="68"/>
        <v>-1</v>
      </c>
    </row>
    <row r="98" spans="1:30" ht="16.5" thickBot="1" x14ac:dyDescent="0.3">
      <c r="A98" s="95"/>
      <c r="B98" s="155"/>
      <c r="C98" s="69" t="s">
        <v>65</v>
      </c>
      <c r="D98" s="119"/>
      <c r="E98" s="62"/>
      <c r="F98" s="62"/>
      <c r="G98" s="120">
        <f t="shared" ref="G98:M98" si="79">ROUND(SUM(G92:G97),3)</f>
        <v>23693.7</v>
      </c>
      <c r="H98" s="120">
        <f t="shared" si="79"/>
        <v>0</v>
      </c>
      <c r="I98" s="120">
        <f t="shared" si="79"/>
        <v>0</v>
      </c>
      <c r="J98" s="120">
        <f t="shared" si="79"/>
        <v>0</v>
      </c>
      <c r="K98" s="120">
        <f t="shared" si="79"/>
        <v>0</v>
      </c>
      <c r="L98" s="120">
        <f t="shared" si="79"/>
        <v>423</v>
      </c>
      <c r="M98" s="120">
        <f t="shared" si="79"/>
        <v>24116.7</v>
      </c>
      <c r="N98" s="64"/>
      <c r="O98" s="120">
        <f t="shared" ref="O98:V98" si="80">ROUND(SUM(O92:O97),3)</f>
        <v>6525.3</v>
      </c>
      <c r="P98" s="120">
        <f t="shared" si="80"/>
        <v>4990.5</v>
      </c>
      <c r="Q98" s="120">
        <f t="shared" si="80"/>
        <v>1534.8</v>
      </c>
      <c r="R98" s="120">
        <f t="shared" si="80"/>
        <v>0</v>
      </c>
      <c r="S98" s="120">
        <f t="shared" si="80"/>
        <v>6525.3</v>
      </c>
      <c r="T98" s="120">
        <f t="shared" si="80"/>
        <v>0</v>
      </c>
      <c r="U98" s="120">
        <f t="shared" si="80"/>
        <v>0</v>
      </c>
      <c r="V98" s="121">
        <f t="shared" si="80"/>
        <v>0</v>
      </c>
      <c r="W98" s="122"/>
      <c r="X98" s="120">
        <f>ROUND(SUM(X92:X97),3)</f>
        <v>0</v>
      </c>
      <c r="Y98" s="120">
        <f>ROUND(SUM(Y92:Y97),3)</f>
        <v>21</v>
      </c>
      <c r="Z98" s="120">
        <f>ROUND(SUM(Z92:Z97),3)</f>
        <v>0</v>
      </c>
      <c r="AA98" s="120">
        <f>ROUND(SUM(AA92:AA97),3)</f>
        <v>0</v>
      </c>
      <c r="AB98" s="69"/>
      <c r="AC98" s="123">
        <f t="shared" si="67"/>
        <v>21</v>
      </c>
      <c r="AD98" s="71"/>
    </row>
    <row r="99" spans="1:30" ht="18" customHeight="1" x14ac:dyDescent="0.25">
      <c r="A99" s="95"/>
      <c r="B99" s="153" t="s">
        <v>110</v>
      </c>
      <c r="C99" s="39" t="s">
        <v>111</v>
      </c>
      <c r="D99" s="156">
        <v>8.4109999999999996</v>
      </c>
      <c r="E99" s="74">
        <v>0</v>
      </c>
      <c r="F99" s="73"/>
      <c r="G99" s="157">
        <v>0</v>
      </c>
      <c r="H99" s="157"/>
      <c r="I99" s="157"/>
      <c r="J99" s="157"/>
      <c r="K99" s="157"/>
      <c r="L99" s="157">
        <v>0</v>
      </c>
      <c r="M99" s="157">
        <v>0</v>
      </c>
      <c r="N99" s="157">
        <v>0</v>
      </c>
      <c r="O99" s="157"/>
      <c r="P99" s="157"/>
      <c r="Q99" s="157"/>
      <c r="R99" s="157"/>
      <c r="S99" s="157"/>
      <c r="T99" s="157"/>
      <c r="U99" s="157"/>
      <c r="V99" s="157"/>
      <c r="W99" s="157">
        <v>0</v>
      </c>
      <c r="X99" s="157"/>
      <c r="Y99" s="157">
        <v>0</v>
      </c>
      <c r="Z99" s="157"/>
      <c r="AA99" s="157">
        <v>0</v>
      </c>
      <c r="AB99" s="157">
        <v>0</v>
      </c>
      <c r="AC99" s="157"/>
      <c r="AD99" s="82"/>
    </row>
    <row r="100" spans="1:30" ht="15.75" customHeight="1" x14ac:dyDescent="0.25">
      <c r="A100" s="95"/>
      <c r="B100" s="154"/>
      <c r="C100" s="158" t="s">
        <v>112</v>
      </c>
      <c r="D100" s="141">
        <v>1.3109999999999999</v>
      </c>
      <c r="E100" s="142">
        <v>3433.6</v>
      </c>
      <c r="F100" s="142">
        <f t="shared" si="73"/>
        <v>4501.4495999999999</v>
      </c>
      <c r="G100" s="159">
        <v>3609.8</v>
      </c>
      <c r="H100" s="158"/>
      <c r="I100" s="158"/>
      <c r="J100" s="145"/>
      <c r="K100" s="145"/>
      <c r="L100" s="145"/>
      <c r="M100" s="145">
        <f>G100+L100</f>
        <v>3609.8</v>
      </c>
      <c r="N100" s="145">
        <f>M100-F100</f>
        <v>-891.64959999999974</v>
      </c>
      <c r="O100" s="145">
        <v>1330.9</v>
      </c>
      <c r="P100" s="158">
        <v>1037.4000000000001</v>
      </c>
      <c r="Q100" s="158">
        <v>293.5</v>
      </c>
      <c r="R100" s="158">
        <f>-37.4</f>
        <v>-37.4</v>
      </c>
      <c r="S100" s="146">
        <f t="shared" ref="S100:S104" si="81">O100+R100</f>
        <v>1293.5</v>
      </c>
      <c r="T100" s="158"/>
      <c r="U100" s="158"/>
      <c r="V100" s="147">
        <f>T100+U100</f>
        <v>0</v>
      </c>
      <c r="W100" s="148">
        <v>4</v>
      </c>
      <c r="X100" s="140"/>
      <c r="Y100" s="140">
        <v>3</v>
      </c>
      <c r="Z100" s="140"/>
      <c r="AA100" s="140"/>
      <c r="AB100" s="149">
        <f t="shared" ref="AB100:AB104" si="82">(Y100+AA100)-W100</f>
        <v>-1</v>
      </c>
      <c r="AC100" s="150">
        <f t="shared" si="67"/>
        <v>3</v>
      </c>
      <c r="AD100" s="151">
        <f t="shared" si="68"/>
        <v>-1</v>
      </c>
    </row>
    <row r="101" spans="1:30" ht="15.75" x14ac:dyDescent="0.25">
      <c r="A101" s="95"/>
      <c r="B101" s="154"/>
      <c r="C101" s="85" t="s">
        <v>113</v>
      </c>
      <c r="D101" s="47">
        <v>1.8859999999999999</v>
      </c>
      <c r="E101" s="48">
        <v>2422.6</v>
      </c>
      <c r="F101" s="48">
        <f t="shared" si="73"/>
        <v>4569.0235999999995</v>
      </c>
      <c r="G101" s="117">
        <v>4076.8</v>
      </c>
      <c r="H101" s="85"/>
      <c r="I101" s="85"/>
      <c r="J101" s="51"/>
      <c r="K101" s="51"/>
      <c r="L101" s="51"/>
      <c r="M101" s="51">
        <f>G101+L101</f>
        <v>4076.8</v>
      </c>
      <c r="N101" s="51">
        <f>M101-F101</f>
        <v>-492.22359999999935</v>
      </c>
      <c r="O101" s="51">
        <v>1994.6</v>
      </c>
      <c r="P101" s="85">
        <v>1511.8</v>
      </c>
      <c r="Q101" s="85">
        <v>482.8</v>
      </c>
      <c r="R101" s="85">
        <f>-61.7</f>
        <v>-61.7</v>
      </c>
      <c r="S101" s="52">
        <f t="shared" si="81"/>
        <v>1932.8999999999999</v>
      </c>
      <c r="T101" s="85"/>
      <c r="U101" s="85"/>
      <c r="V101" s="116">
        <f>T101+U101</f>
        <v>0</v>
      </c>
      <c r="W101" s="55">
        <v>5</v>
      </c>
      <c r="X101" s="56"/>
      <c r="Y101" s="56">
        <v>5</v>
      </c>
      <c r="Z101" s="56"/>
      <c r="AA101" s="56"/>
      <c r="AB101" s="57">
        <f t="shared" si="82"/>
        <v>0</v>
      </c>
      <c r="AC101" s="90">
        <f t="shared" si="67"/>
        <v>5</v>
      </c>
      <c r="AD101" s="58">
        <f t="shared" si="68"/>
        <v>0</v>
      </c>
    </row>
    <row r="102" spans="1:30" ht="15.75" customHeight="1" x14ac:dyDescent="0.25">
      <c r="A102" s="95"/>
      <c r="B102" s="154"/>
      <c r="C102" s="85" t="s">
        <v>73</v>
      </c>
      <c r="D102" s="47">
        <v>1.204</v>
      </c>
      <c r="E102" s="48">
        <v>2714.4</v>
      </c>
      <c r="F102" s="48">
        <f t="shared" si="73"/>
        <v>3268.1376</v>
      </c>
      <c r="G102" s="117">
        <v>2845.5</v>
      </c>
      <c r="H102" s="85"/>
      <c r="I102" s="85"/>
      <c r="J102" s="51"/>
      <c r="K102" s="51"/>
      <c r="L102" s="51"/>
      <c r="M102" s="51">
        <f>G102+L102</f>
        <v>2845.5</v>
      </c>
      <c r="N102" s="51">
        <f>M102-F102</f>
        <v>-422.63760000000002</v>
      </c>
      <c r="O102" s="51">
        <v>1144.8</v>
      </c>
      <c r="P102" s="85">
        <v>879.3</v>
      </c>
      <c r="Q102" s="85">
        <v>265.5</v>
      </c>
      <c r="R102" s="85">
        <f>-31.5</f>
        <v>-31.5</v>
      </c>
      <c r="S102" s="52">
        <f t="shared" si="81"/>
        <v>1113.3</v>
      </c>
      <c r="T102" s="85"/>
      <c r="U102" s="85"/>
      <c r="V102" s="116">
        <f>T102+U102</f>
        <v>0</v>
      </c>
      <c r="W102" s="55">
        <v>4</v>
      </c>
      <c r="X102" s="56"/>
      <c r="Y102" s="56">
        <v>4</v>
      </c>
      <c r="Z102" s="56"/>
      <c r="AA102" s="56"/>
      <c r="AB102" s="57">
        <f t="shared" si="82"/>
        <v>0</v>
      </c>
      <c r="AC102" s="90">
        <f t="shared" si="67"/>
        <v>4</v>
      </c>
      <c r="AD102" s="58">
        <f t="shared" si="68"/>
        <v>0</v>
      </c>
    </row>
    <row r="103" spans="1:30" ht="15.75" x14ac:dyDescent="0.25">
      <c r="A103" s="95"/>
      <c r="B103" s="154"/>
      <c r="C103" s="85" t="s">
        <v>114</v>
      </c>
      <c r="D103" s="47">
        <v>5.0510000000000002</v>
      </c>
      <c r="E103" s="48">
        <v>1337.8</v>
      </c>
      <c r="F103" s="48">
        <f t="shared" si="73"/>
        <v>6757.2277999999997</v>
      </c>
      <c r="G103" s="117">
        <v>6572.3</v>
      </c>
      <c r="H103" s="85"/>
      <c r="I103" s="85"/>
      <c r="J103" s="51"/>
      <c r="K103" s="51"/>
      <c r="L103" s="51"/>
      <c r="M103" s="51">
        <f>G103+L103</f>
        <v>6572.3</v>
      </c>
      <c r="N103" s="51">
        <f>M103-F103</f>
        <v>-184.92779999999948</v>
      </c>
      <c r="O103" s="51">
        <v>2890.4</v>
      </c>
      <c r="P103" s="85">
        <v>2225.3000000000002</v>
      </c>
      <c r="Q103" s="85">
        <v>665.1</v>
      </c>
      <c r="R103" s="85">
        <f>-117.4</f>
        <v>-117.4</v>
      </c>
      <c r="S103" s="52">
        <f t="shared" si="81"/>
        <v>2773</v>
      </c>
      <c r="T103" s="85"/>
      <c r="U103" s="85"/>
      <c r="V103" s="116">
        <f>T103+U103</f>
        <v>0</v>
      </c>
      <c r="W103" s="55">
        <v>6</v>
      </c>
      <c r="X103" s="56"/>
      <c r="Y103" s="56">
        <v>6</v>
      </c>
      <c r="Z103" s="56"/>
      <c r="AA103" s="56"/>
      <c r="AB103" s="57">
        <f t="shared" si="82"/>
        <v>0</v>
      </c>
      <c r="AC103" s="90">
        <f t="shared" si="67"/>
        <v>6</v>
      </c>
      <c r="AD103" s="58">
        <f t="shared" si="68"/>
        <v>0</v>
      </c>
    </row>
    <row r="104" spans="1:30" ht="15.75" x14ac:dyDescent="0.25">
      <c r="A104" s="95"/>
      <c r="B104" s="154"/>
      <c r="C104" s="85" t="s">
        <v>115</v>
      </c>
      <c r="D104" s="47">
        <v>1.6739999999999999</v>
      </c>
      <c r="E104" s="48">
        <v>3178.6</v>
      </c>
      <c r="F104" s="48">
        <f t="shared" si="73"/>
        <v>5320.9763999999996</v>
      </c>
      <c r="G104" s="117">
        <v>5321</v>
      </c>
      <c r="H104" s="85"/>
      <c r="I104" s="85"/>
      <c r="J104" s="51"/>
      <c r="K104" s="51"/>
      <c r="L104" s="51"/>
      <c r="M104" s="51">
        <f>G104+L104</f>
        <v>5321</v>
      </c>
      <c r="N104" s="51">
        <f>M104-F104</f>
        <v>2.3600000000442378E-2</v>
      </c>
      <c r="O104" s="51">
        <v>1675.3</v>
      </c>
      <c r="P104" s="85">
        <v>1300</v>
      </c>
      <c r="Q104" s="85">
        <v>375.3</v>
      </c>
      <c r="R104" s="85">
        <f>-36.1</f>
        <v>-36.1</v>
      </c>
      <c r="S104" s="52">
        <f t="shared" si="81"/>
        <v>1639.2</v>
      </c>
      <c r="T104" s="85"/>
      <c r="U104" s="85"/>
      <c r="V104" s="116">
        <f>T104+U104</f>
        <v>0</v>
      </c>
      <c r="W104" s="55">
        <v>4</v>
      </c>
      <c r="X104" s="56"/>
      <c r="Y104" s="56">
        <v>4</v>
      </c>
      <c r="Z104" s="56"/>
      <c r="AA104" s="56"/>
      <c r="AB104" s="57">
        <f t="shared" si="82"/>
        <v>0</v>
      </c>
      <c r="AC104" s="90">
        <f t="shared" si="67"/>
        <v>4</v>
      </c>
      <c r="AD104" s="58">
        <f t="shared" si="68"/>
        <v>0</v>
      </c>
    </row>
    <row r="105" spans="1:30" ht="16.5" thickBot="1" x14ac:dyDescent="0.3">
      <c r="A105" s="95"/>
      <c r="B105" s="155"/>
      <c r="C105" s="69" t="s">
        <v>65</v>
      </c>
      <c r="D105" s="137"/>
      <c r="E105" s="62"/>
      <c r="F105" s="62"/>
      <c r="G105" s="123">
        <f t="shared" ref="G105:M105" si="83">ROUND(SUM(G100:G104),3)</f>
        <v>22425.4</v>
      </c>
      <c r="H105" s="123">
        <f t="shared" si="83"/>
        <v>0</v>
      </c>
      <c r="I105" s="123">
        <f t="shared" si="83"/>
        <v>0</v>
      </c>
      <c r="J105" s="123">
        <f t="shared" si="83"/>
        <v>0</v>
      </c>
      <c r="K105" s="123">
        <f t="shared" si="83"/>
        <v>0</v>
      </c>
      <c r="L105" s="123">
        <f t="shared" si="83"/>
        <v>0</v>
      </c>
      <c r="M105" s="123">
        <f t="shared" si="83"/>
        <v>22425.4</v>
      </c>
      <c r="N105" s="64"/>
      <c r="O105" s="123">
        <f t="shared" ref="O105:S105" si="84">ROUND(SUM(O100:O104),3)</f>
        <v>9036</v>
      </c>
      <c r="P105" s="123">
        <f t="shared" si="84"/>
        <v>6953.8</v>
      </c>
      <c r="Q105" s="123">
        <f t="shared" si="84"/>
        <v>2082.1999999999998</v>
      </c>
      <c r="R105" s="123">
        <f t="shared" si="84"/>
        <v>-284.10000000000002</v>
      </c>
      <c r="S105" s="123">
        <f t="shared" si="84"/>
        <v>8751.9</v>
      </c>
      <c r="T105" s="123">
        <f>ROUND(SUM(T100:T104),3)</f>
        <v>0</v>
      </c>
      <c r="U105" s="123">
        <f>ROUND(SUM(U100:U104),3)</f>
        <v>0</v>
      </c>
      <c r="V105" s="138">
        <f>ROUND(SUM(V100:V104),3)</f>
        <v>0</v>
      </c>
      <c r="W105" s="94"/>
      <c r="X105" s="123">
        <f t="shared" ref="X105:AA105" si="85">ROUND(SUM(X100:X104),3)</f>
        <v>0</v>
      </c>
      <c r="Y105" s="123">
        <f t="shared" si="85"/>
        <v>22</v>
      </c>
      <c r="Z105" s="123">
        <f t="shared" si="85"/>
        <v>0</v>
      </c>
      <c r="AA105" s="123">
        <f t="shared" si="85"/>
        <v>0</v>
      </c>
      <c r="AB105" s="69"/>
      <c r="AC105" s="123">
        <f t="shared" si="67"/>
        <v>22</v>
      </c>
      <c r="AD105" s="71"/>
    </row>
    <row r="106" spans="1:30" ht="15.75" x14ac:dyDescent="0.25">
      <c r="A106" s="95"/>
      <c r="B106" s="139" t="s">
        <v>46</v>
      </c>
      <c r="C106" s="160" t="s">
        <v>116</v>
      </c>
      <c r="D106" s="141">
        <v>7.0339999999999998</v>
      </c>
      <c r="E106" s="142">
        <v>225.7</v>
      </c>
      <c r="F106" s="142">
        <f t="shared" si="73"/>
        <v>1587.5737999999999</v>
      </c>
      <c r="G106" s="143">
        <v>1230</v>
      </c>
      <c r="H106" s="144"/>
      <c r="I106" s="144"/>
      <c r="J106" s="145"/>
      <c r="K106" s="145"/>
      <c r="L106" s="145">
        <v>348.3</v>
      </c>
      <c r="M106" s="145">
        <f>G106+L106</f>
        <v>1578.3</v>
      </c>
      <c r="N106" s="102">
        <f>M106-F106</f>
        <v>-9.2737999999999374</v>
      </c>
      <c r="O106" s="145"/>
      <c r="P106" s="144"/>
      <c r="Q106" s="144"/>
      <c r="R106" s="144"/>
      <c r="S106" s="161"/>
      <c r="T106" s="144"/>
      <c r="U106" s="144"/>
      <c r="V106" s="147">
        <f>T106+U106</f>
        <v>0</v>
      </c>
      <c r="W106" s="148">
        <v>1</v>
      </c>
      <c r="X106" s="140"/>
      <c r="Y106" s="140"/>
      <c r="Z106" s="140"/>
      <c r="AA106" s="140">
        <v>0.5</v>
      </c>
      <c r="AB106" s="149">
        <f t="shared" ref="AB106:AB110" si="86">(Y106+AA106)-W106</f>
        <v>-0.5</v>
      </c>
      <c r="AC106" s="150">
        <f t="shared" si="67"/>
        <v>0.5</v>
      </c>
      <c r="AD106" s="151">
        <f t="shared" si="68"/>
        <v>-0.5</v>
      </c>
    </row>
    <row r="107" spans="1:30" ht="15.75" x14ac:dyDescent="0.25">
      <c r="A107" s="95"/>
      <c r="B107" s="113"/>
      <c r="C107" s="135" t="s">
        <v>117</v>
      </c>
      <c r="D107" s="47">
        <v>1.958</v>
      </c>
      <c r="E107" s="48">
        <v>4352</v>
      </c>
      <c r="F107" s="48">
        <f t="shared" si="73"/>
        <v>8521.2160000000003</v>
      </c>
      <c r="G107" s="117">
        <v>8493.7999999999993</v>
      </c>
      <c r="H107" s="85"/>
      <c r="I107" s="85"/>
      <c r="J107" s="51"/>
      <c r="K107" s="51"/>
      <c r="L107" s="51">
        <v>25.5</v>
      </c>
      <c r="M107" s="51">
        <f>G107+L107</f>
        <v>8519.2999999999993</v>
      </c>
      <c r="N107" s="51">
        <f>M107-F107</f>
        <v>-1.9160000000010768</v>
      </c>
      <c r="O107" s="51">
        <v>2372.1999999999998</v>
      </c>
      <c r="P107" s="85">
        <v>1822</v>
      </c>
      <c r="Q107" s="85">
        <v>550.20000000000005</v>
      </c>
      <c r="R107" s="85"/>
      <c r="S107" s="52">
        <f t="shared" ref="S107:S110" si="87">O107+R107</f>
        <v>2372.1999999999998</v>
      </c>
      <c r="T107" s="85"/>
      <c r="U107" s="85"/>
      <c r="V107" s="116">
        <f>T107+U107</f>
        <v>0</v>
      </c>
      <c r="W107" s="55">
        <v>5</v>
      </c>
      <c r="X107" s="56"/>
      <c r="Y107" s="56">
        <v>5</v>
      </c>
      <c r="Z107" s="56"/>
      <c r="AA107" s="56"/>
      <c r="AB107" s="57">
        <f t="shared" si="86"/>
        <v>0</v>
      </c>
      <c r="AC107" s="90">
        <f t="shared" si="67"/>
        <v>5</v>
      </c>
      <c r="AD107" s="58">
        <f t="shared" si="68"/>
        <v>0</v>
      </c>
    </row>
    <row r="108" spans="1:30" ht="15.75" x14ac:dyDescent="0.25">
      <c r="A108" s="95"/>
      <c r="B108" s="113"/>
      <c r="C108" s="85" t="s">
        <v>118</v>
      </c>
      <c r="D108" s="47">
        <v>2.452</v>
      </c>
      <c r="E108" s="48">
        <v>1937.5</v>
      </c>
      <c r="F108" s="48">
        <f t="shared" si="73"/>
        <v>4750.75</v>
      </c>
      <c r="G108" s="117">
        <v>4750.8</v>
      </c>
      <c r="H108" s="85"/>
      <c r="I108" s="85"/>
      <c r="J108" s="51"/>
      <c r="K108" s="51"/>
      <c r="L108" s="51">
        <v>0</v>
      </c>
      <c r="M108" s="51">
        <f>G108+L108</f>
        <v>4750.8</v>
      </c>
      <c r="N108" s="51">
        <v>0</v>
      </c>
      <c r="O108" s="51">
        <v>1811</v>
      </c>
      <c r="P108" s="85">
        <v>1391</v>
      </c>
      <c r="Q108" s="85">
        <v>420</v>
      </c>
      <c r="R108" s="85"/>
      <c r="S108" s="52">
        <f t="shared" si="87"/>
        <v>1811</v>
      </c>
      <c r="T108" s="85"/>
      <c r="U108" s="85"/>
      <c r="V108" s="116">
        <f>T108+U108</f>
        <v>0</v>
      </c>
      <c r="W108" s="55">
        <v>5</v>
      </c>
      <c r="X108" s="56"/>
      <c r="Y108" s="56">
        <v>5</v>
      </c>
      <c r="Z108" s="56"/>
      <c r="AA108" s="56"/>
      <c r="AB108" s="57">
        <f t="shared" si="86"/>
        <v>0</v>
      </c>
      <c r="AC108" s="90">
        <f t="shared" si="67"/>
        <v>5</v>
      </c>
      <c r="AD108" s="58">
        <f t="shared" si="68"/>
        <v>0</v>
      </c>
    </row>
    <row r="109" spans="1:30" ht="15.75" x14ac:dyDescent="0.25">
      <c r="A109" s="95"/>
      <c r="B109" s="113"/>
      <c r="C109" s="162" t="s">
        <v>119</v>
      </c>
      <c r="D109" s="47">
        <v>1.1419999999999999</v>
      </c>
      <c r="E109" s="48">
        <v>5288</v>
      </c>
      <c r="F109" s="48">
        <f t="shared" si="73"/>
        <v>6038.8959999999997</v>
      </c>
      <c r="G109" s="117">
        <v>5402.6</v>
      </c>
      <c r="H109" s="85"/>
      <c r="I109" s="85"/>
      <c r="J109" s="51"/>
      <c r="K109" s="51"/>
      <c r="L109" s="51">
        <v>0</v>
      </c>
      <c r="M109" s="51">
        <f>G109+L109</f>
        <v>5402.6</v>
      </c>
      <c r="N109" s="51">
        <f>M109-F109</f>
        <v>-636.29599999999937</v>
      </c>
      <c r="O109" s="51">
        <v>2158.6999999999998</v>
      </c>
      <c r="P109" s="85">
        <v>1664.9</v>
      </c>
      <c r="Q109" s="85">
        <v>493.8</v>
      </c>
      <c r="R109" s="85"/>
      <c r="S109" s="52">
        <f t="shared" si="87"/>
        <v>2158.6999999999998</v>
      </c>
      <c r="T109" s="85"/>
      <c r="U109" s="85"/>
      <c r="V109" s="116">
        <f>T109+U109</f>
        <v>0</v>
      </c>
      <c r="W109" s="55">
        <v>5</v>
      </c>
      <c r="X109" s="56"/>
      <c r="Y109" s="56">
        <v>5</v>
      </c>
      <c r="Z109" s="56"/>
      <c r="AA109" s="56"/>
      <c r="AB109" s="57">
        <f t="shared" si="86"/>
        <v>0</v>
      </c>
      <c r="AC109" s="90">
        <f t="shared" si="67"/>
        <v>5</v>
      </c>
      <c r="AD109" s="58">
        <f t="shared" si="68"/>
        <v>0</v>
      </c>
    </row>
    <row r="110" spans="1:30" ht="15.75" x14ac:dyDescent="0.25">
      <c r="A110" s="95"/>
      <c r="B110" s="113"/>
      <c r="C110" s="135" t="s">
        <v>120</v>
      </c>
      <c r="D110" s="47">
        <v>2.319</v>
      </c>
      <c r="E110" s="48">
        <v>3243.9</v>
      </c>
      <c r="F110" s="48">
        <f t="shared" si="73"/>
        <v>7522.6041000000005</v>
      </c>
      <c r="G110" s="117">
        <v>6782.8</v>
      </c>
      <c r="H110" s="85"/>
      <c r="I110" s="85"/>
      <c r="J110" s="51"/>
      <c r="K110" s="51"/>
      <c r="L110" s="51">
        <v>30</v>
      </c>
      <c r="M110" s="51">
        <f>G110+L110</f>
        <v>6812.8</v>
      </c>
      <c r="N110" s="51">
        <f>M110-F110</f>
        <v>-709.80410000000029</v>
      </c>
      <c r="O110" s="51">
        <v>2111.6999999999998</v>
      </c>
      <c r="P110" s="85">
        <v>1696</v>
      </c>
      <c r="Q110" s="85">
        <v>415.8</v>
      </c>
      <c r="R110" s="85"/>
      <c r="S110" s="52">
        <f t="shared" si="87"/>
        <v>2111.6999999999998</v>
      </c>
      <c r="T110" s="85"/>
      <c r="U110" s="85"/>
      <c r="V110" s="116">
        <f>T110+U110</f>
        <v>0</v>
      </c>
      <c r="W110" s="55">
        <v>5</v>
      </c>
      <c r="X110" s="56"/>
      <c r="Y110" s="56">
        <v>5</v>
      </c>
      <c r="Z110" s="56"/>
      <c r="AA110" s="56"/>
      <c r="AB110" s="57">
        <f t="shared" si="86"/>
        <v>0</v>
      </c>
      <c r="AC110" s="90">
        <f t="shared" si="67"/>
        <v>5</v>
      </c>
      <c r="AD110" s="58">
        <f t="shared" si="68"/>
        <v>0</v>
      </c>
    </row>
    <row r="111" spans="1:30" ht="16.5" thickBot="1" x14ac:dyDescent="0.3">
      <c r="A111" s="95"/>
      <c r="B111" s="163"/>
      <c r="C111" s="164" t="s">
        <v>65</v>
      </c>
      <c r="D111" s="165"/>
      <c r="E111" s="166"/>
      <c r="F111" s="166"/>
      <c r="G111" s="167">
        <f>ROUND(SUM(G106:G110),3)</f>
        <v>26660</v>
      </c>
      <c r="H111" s="167">
        <f t="shared" ref="H111:M111" si="88">ROUND(SUM(H106:H110),3)</f>
        <v>0</v>
      </c>
      <c r="I111" s="167">
        <f t="shared" si="88"/>
        <v>0</v>
      </c>
      <c r="J111" s="167">
        <f t="shared" si="88"/>
        <v>0</v>
      </c>
      <c r="K111" s="167">
        <f t="shared" si="88"/>
        <v>0</v>
      </c>
      <c r="L111" s="167">
        <f t="shared" si="88"/>
        <v>403.8</v>
      </c>
      <c r="M111" s="167">
        <f t="shared" si="88"/>
        <v>27063.8</v>
      </c>
      <c r="N111" s="168"/>
      <c r="O111" s="167">
        <f t="shared" ref="O111:S111" si="89">ROUND(SUM(O106:O110),3)</f>
        <v>8453.6</v>
      </c>
      <c r="P111" s="167">
        <f t="shared" si="89"/>
        <v>6573.9</v>
      </c>
      <c r="Q111" s="167">
        <f t="shared" si="89"/>
        <v>1879.8</v>
      </c>
      <c r="R111" s="167">
        <f t="shared" si="89"/>
        <v>0</v>
      </c>
      <c r="S111" s="167">
        <f t="shared" si="89"/>
        <v>8453.6</v>
      </c>
      <c r="T111" s="167"/>
      <c r="U111" s="167">
        <f>ROUND(SUM(U106:U110),3)</f>
        <v>0</v>
      </c>
      <c r="V111" s="169">
        <f>ROUND(SUM(V106:V110),3)</f>
        <v>0</v>
      </c>
      <c r="W111" s="170"/>
      <c r="X111" s="167">
        <f t="shared" ref="X111:AA111" si="90">ROUND(SUM(X106:X110),3)</f>
        <v>0</v>
      </c>
      <c r="Y111" s="167">
        <f t="shared" si="90"/>
        <v>20</v>
      </c>
      <c r="Z111" s="167">
        <f t="shared" si="90"/>
        <v>0</v>
      </c>
      <c r="AA111" s="167">
        <f t="shared" si="90"/>
        <v>0.5</v>
      </c>
      <c r="AB111" s="164"/>
      <c r="AC111" s="167">
        <f t="shared" si="67"/>
        <v>20.5</v>
      </c>
      <c r="AD111" s="171"/>
    </row>
    <row r="112" spans="1:30" ht="15.75" x14ac:dyDescent="0.25">
      <c r="A112" s="95"/>
      <c r="B112" s="108" t="s">
        <v>47</v>
      </c>
      <c r="C112" s="39" t="s">
        <v>121</v>
      </c>
      <c r="D112" s="73">
        <v>2.4790000000000001</v>
      </c>
      <c r="E112" s="74">
        <v>0</v>
      </c>
      <c r="F112" s="74">
        <v>0</v>
      </c>
      <c r="G112" s="109">
        <v>0</v>
      </c>
      <c r="H112" s="110"/>
      <c r="I112" s="110"/>
      <c r="J112" s="76"/>
      <c r="K112" s="76"/>
      <c r="L112" s="76">
        <v>0</v>
      </c>
      <c r="M112" s="76">
        <v>0</v>
      </c>
      <c r="N112" s="76">
        <v>0</v>
      </c>
      <c r="O112" s="76"/>
      <c r="P112" s="110"/>
      <c r="Q112" s="110"/>
      <c r="R112" s="110"/>
      <c r="S112" s="75"/>
      <c r="T112" s="110"/>
      <c r="U112" s="110"/>
      <c r="V112" s="111">
        <f>T112+U112</f>
        <v>0</v>
      </c>
      <c r="W112" s="80">
        <v>0</v>
      </c>
      <c r="X112" s="39"/>
      <c r="Y112" s="39"/>
      <c r="Z112" s="39"/>
      <c r="AA112" s="39"/>
      <c r="AB112" s="81">
        <v>0</v>
      </c>
      <c r="AC112" s="112">
        <f t="shared" si="67"/>
        <v>0</v>
      </c>
      <c r="AD112" s="82">
        <f t="shared" si="68"/>
        <v>0</v>
      </c>
    </row>
    <row r="113" spans="1:30" ht="15.75" x14ac:dyDescent="0.25">
      <c r="A113" s="95"/>
      <c r="B113" s="113"/>
      <c r="C113" s="85" t="s">
        <v>122</v>
      </c>
      <c r="D113" s="47">
        <v>0.84599999999999997</v>
      </c>
      <c r="E113" s="48">
        <v>4278.6000000000004</v>
      </c>
      <c r="F113" s="48">
        <f t="shared" si="73"/>
        <v>3619.6956</v>
      </c>
      <c r="G113" s="117">
        <v>3376.2</v>
      </c>
      <c r="H113" s="85"/>
      <c r="I113" s="85"/>
      <c r="J113" s="51"/>
      <c r="K113" s="51"/>
      <c r="L113" s="51">
        <v>119.4</v>
      </c>
      <c r="M113" s="51">
        <f>G113+L113</f>
        <v>3495.6</v>
      </c>
      <c r="N113" s="51">
        <f>M113-F113</f>
        <v>-124.0956000000001</v>
      </c>
      <c r="O113" s="51">
        <v>1152.4000000000001</v>
      </c>
      <c r="P113" s="85">
        <v>888.7</v>
      </c>
      <c r="Q113" s="85">
        <v>263.7</v>
      </c>
      <c r="R113" s="85"/>
      <c r="S113" s="52">
        <f t="shared" ref="S113:S116" si="91">O113+R113</f>
        <v>1152.4000000000001</v>
      </c>
      <c r="T113" s="85"/>
      <c r="U113" s="85"/>
      <c r="V113" s="116">
        <f>T113+U113</f>
        <v>0</v>
      </c>
      <c r="W113" s="55">
        <v>4</v>
      </c>
      <c r="X113" s="56"/>
      <c r="Y113" s="56">
        <v>4</v>
      </c>
      <c r="Z113" s="56"/>
      <c r="AA113" s="56">
        <v>0</v>
      </c>
      <c r="AB113" s="57">
        <f t="shared" ref="AB113:AB116" si="92">(Y113+AA113)-W113</f>
        <v>0</v>
      </c>
      <c r="AC113" s="90">
        <f t="shared" si="67"/>
        <v>4</v>
      </c>
      <c r="AD113" s="58">
        <f t="shared" si="68"/>
        <v>0</v>
      </c>
    </row>
    <row r="114" spans="1:30" ht="15.75" x14ac:dyDescent="0.25">
      <c r="A114" s="95"/>
      <c r="B114" s="113"/>
      <c r="C114" s="135" t="s">
        <v>123</v>
      </c>
      <c r="D114" s="47">
        <v>1.802</v>
      </c>
      <c r="E114" s="48">
        <v>3110.9</v>
      </c>
      <c r="F114" s="48">
        <f t="shared" si="73"/>
        <v>5605.8418000000001</v>
      </c>
      <c r="G114" s="117">
        <v>4834.6000000000004</v>
      </c>
      <c r="H114" s="85"/>
      <c r="I114" s="85"/>
      <c r="J114" s="51"/>
      <c r="K114" s="51"/>
      <c r="L114" s="51">
        <v>254.1</v>
      </c>
      <c r="M114" s="51">
        <f>G114+L114</f>
        <v>5088.7000000000007</v>
      </c>
      <c r="N114" s="51">
        <f>M114-F114</f>
        <v>-517.14179999999942</v>
      </c>
      <c r="O114" s="51">
        <v>1850.6</v>
      </c>
      <c r="P114" s="85">
        <v>1424.2</v>
      </c>
      <c r="Q114" s="85">
        <v>426.5</v>
      </c>
      <c r="R114" s="85"/>
      <c r="S114" s="52">
        <f t="shared" si="91"/>
        <v>1850.6</v>
      </c>
      <c r="T114" s="85"/>
      <c r="U114" s="85"/>
      <c r="V114" s="116">
        <f>T114+U114</f>
        <v>0</v>
      </c>
      <c r="W114" s="86">
        <v>7</v>
      </c>
      <c r="X114" s="56"/>
      <c r="Y114" s="56">
        <v>6</v>
      </c>
      <c r="Z114" s="56"/>
      <c r="AA114" s="56">
        <v>0</v>
      </c>
      <c r="AB114" s="57">
        <f t="shared" si="92"/>
        <v>-1</v>
      </c>
      <c r="AC114" s="90">
        <f t="shared" si="67"/>
        <v>6</v>
      </c>
      <c r="AD114" s="58">
        <f t="shared" si="68"/>
        <v>-1</v>
      </c>
    </row>
    <row r="115" spans="1:30" ht="15.75" x14ac:dyDescent="0.25">
      <c r="A115" s="95"/>
      <c r="B115" s="113"/>
      <c r="C115" s="85" t="s">
        <v>124</v>
      </c>
      <c r="D115" s="47">
        <v>0.875</v>
      </c>
      <c r="E115" s="48">
        <v>3754.2</v>
      </c>
      <c r="F115" s="48">
        <f t="shared" si="73"/>
        <v>3284.9249999999997</v>
      </c>
      <c r="G115" s="117">
        <v>3161.4</v>
      </c>
      <c r="H115" s="85"/>
      <c r="I115" s="85"/>
      <c r="J115" s="51"/>
      <c r="K115" s="51"/>
      <c r="L115" s="51">
        <v>123.5</v>
      </c>
      <c r="M115" s="51">
        <f>G115+L115</f>
        <v>3284.9</v>
      </c>
      <c r="N115" s="51">
        <f>M115-F115</f>
        <v>-2.4999999999636202E-2</v>
      </c>
      <c r="O115" s="51">
        <v>1101.8</v>
      </c>
      <c r="P115" s="85">
        <v>832.1</v>
      </c>
      <c r="Q115" s="85">
        <v>269.60000000000002</v>
      </c>
      <c r="R115" s="85"/>
      <c r="S115" s="52">
        <f t="shared" si="91"/>
        <v>1101.8</v>
      </c>
      <c r="T115" s="85"/>
      <c r="U115" s="85"/>
      <c r="V115" s="116">
        <f>T115+U115</f>
        <v>0</v>
      </c>
      <c r="W115" s="55">
        <v>4</v>
      </c>
      <c r="X115" s="56"/>
      <c r="Y115" s="56">
        <v>4</v>
      </c>
      <c r="Z115" s="56"/>
      <c r="AA115" s="56">
        <v>0</v>
      </c>
      <c r="AB115" s="57">
        <f t="shared" si="92"/>
        <v>0</v>
      </c>
      <c r="AC115" s="90">
        <f t="shared" si="67"/>
        <v>4</v>
      </c>
      <c r="AD115" s="58">
        <f t="shared" si="68"/>
        <v>0</v>
      </c>
    </row>
    <row r="116" spans="1:30" ht="15.75" x14ac:dyDescent="0.25">
      <c r="A116" s="95"/>
      <c r="B116" s="113"/>
      <c r="C116" s="85" t="s">
        <v>125</v>
      </c>
      <c r="D116" s="47">
        <v>1.397</v>
      </c>
      <c r="E116" s="48">
        <v>2559.6</v>
      </c>
      <c r="F116" s="48">
        <f t="shared" si="73"/>
        <v>3575.7611999999999</v>
      </c>
      <c r="G116" s="117">
        <v>3156.7</v>
      </c>
      <c r="H116" s="85"/>
      <c r="I116" s="85"/>
      <c r="J116" s="51"/>
      <c r="K116" s="51"/>
      <c r="L116" s="51">
        <v>202.1</v>
      </c>
      <c r="M116" s="51">
        <f>G116+L116</f>
        <v>3358.7999999999997</v>
      </c>
      <c r="N116" s="51">
        <f>M116-F116</f>
        <v>-216.96120000000019</v>
      </c>
      <c r="O116" s="51">
        <v>1349.4</v>
      </c>
      <c r="P116" s="85">
        <v>1038</v>
      </c>
      <c r="Q116" s="85">
        <v>311.39999999999998</v>
      </c>
      <c r="R116" s="85"/>
      <c r="S116" s="52">
        <f t="shared" si="91"/>
        <v>1349.4</v>
      </c>
      <c r="T116" s="85"/>
      <c r="U116" s="85"/>
      <c r="V116" s="116">
        <f>T116+U116</f>
        <v>0</v>
      </c>
      <c r="W116" s="55">
        <v>4</v>
      </c>
      <c r="X116" s="56"/>
      <c r="Y116" s="56">
        <v>4</v>
      </c>
      <c r="Z116" s="56"/>
      <c r="AA116" s="56">
        <v>0</v>
      </c>
      <c r="AB116" s="57">
        <f t="shared" si="92"/>
        <v>0</v>
      </c>
      <c r="AC116" s="90">
        <f t="shared" si="67"/>
        <v>4</v>
      </c>
      <c r="AD116" s="58">
        <f t="shared" si="68"/>
        <v>0</v>
      </c>
    </row>
    <row r="117" spans="1:30" ht="16.5" thickBot="1" x14ac:dyDescent="0.3">
      <c r="A117" s="95"/>
      <c r="B117" s="118"/>
      <c r="C117" s="69" t="s">
        <v>65</v>
      </c>
      <c r="D117" s="137"/>
      <c r="E117" s="62"/>
      <c r="F117" s="62"/>
      <c r="G117" s="123">
        <f t="shared" ref="G117:V117" si="93">ROUND(SUM(G112:G116),3)</f>
        <v>14528.9</v>
      </c>
      <c r="H117" s="123">
        <f t="shared" si="93"/>
        <v>0</v>
      </c>
      <c r="I117" s="123">
        <f t="shared" si="93"/>
        <v>0</v>
      </c>
      <c r="J117" s="123">
        <f t="shared" si="93"/>
        <v>0</v>
      </c>
      <c r="K117" s="123">
        <f t="shared" si="93"/>
        <v>0</v>
      </c>
      <c r="L117" s="123">
        <f t="shared" si="93"/>
        <v>699.1</v>
      </c>
      <c r="M117" s="123">
        <f t="shared" si="93"/>
        <v>15228</v>
      </c>
      <c r="N117" s="64"/>
      <c r="O117" s="123">
        <f t="shared" ref="O117:Q117" si="94">ROUND(SUM(O112:O116),3)</f>
        <v>5454.2</v>
      </c>
      <c r="P117" s="123">
        <f t="shared" si="94"/>
        <v>4183</v>
      </c>
      <c r="Q117" s="123">
        <f t="shared" si="94"/>
        <v>1271.2</v>
      </c>
      <c r="R117" s="123"/>
      <c r="S117" s="123"/>
      <c r="T117" s="123">
        <f t="shared" si="93"/>
        <v>0</v>
      </c>
      <c r="U117" s="123">
        <f t="shared" si="93"/>
        <v>0</v>
      </c>
      <c r="V117" s="138">
        <f t="shared" si="93"/>
        <v>0</v>
      </c>
      <c r="W117" s="94"/>
      <c r="X117" s="123">
        <f t="shared" ref="X117" si="95">ROUND(SUM(X112:X116),3)</f>
        <v>0</v>
      </c>
      <c r="Y117" s="123">
        <f>ROUND(SUM(Y112:Y116),3)</f>
        <v>18</v>
      </c>
      <c r="Z117" s="123">
        <f t="shared" ref="Z117:AA117" si="96">ROUND(SUM(Z112:Z116),3)</f>
        <v>0</v>
      </c>
      <c r="AA117" s="123">
        <f t="shared" si="96"/>
        <v>0</v>
      </c>
      <c r="AB117" s="69"/>
      <c r="AC117" s="123">
        <f>Y117+AA117</f>
        <v>18</v>
      </c>
      <c r="AD117" s="71"/>
    </row>
    <row r="118" spans="1:30" ht="15.75" x14ac:dyDescent="0.25">
      <c r="A118" s="95"/>
      <c r="B118" s="108" t="s">
        <v>48</v>
      </c>
      <c r="C118" s="39" t="s">
        <v>126</v>
      </c>
      <c r="D118" s="73">
        <v>4.5359999999999996</v>
      </c>
      <c r="E118" s="74">
        <v>507.6</v>
      </c>
      <c r="F118" s="74">
        <f t="shared" si="73"/>
        <v>2302.4735999999998</v>
      </c>
      <c r="G118" s="109">
        <v>1851.9</v>
      </c>
      <c r="H118" s="110"/>
      <c r="I118" s="110"/>
      <c r="J118" s="76"/>
      <c r="K118" s="76"/>
      <c r="L118" s="76"/>
      <c r="M118" s="172">
        <f>G118+L118</f>
        <v>1851.9</v>
      </c>
      <c r="N118" s="76">
        <f>M118-F118</f>
        <v>-450.57359999999971</v>
      </c>
      <c r="O118" s="76">
        <v>650</v>
      </c>
      <c r="P118" s="110">
        <v>499.2</v>
      </c>
      <c r="Q118" s="110">
        <v>150.80000000000001</v>
      </c>
      <c r="R118" s="110"/>
      <c r="S118" s="77">
        <f t="shared" ref="S118:S121" si="97">O118+R118</f>
        <v>650</v>
      </c>
      <c r="T118" s="110"/>
      <c r="U118" s="110"/>
      <c r="V118" s="111">
        <f>T118+U118</f>
        <v>0</v>
      </c>
      <c r="W118" s="80">
        <v>1</v>
      </c>
      <c r="X118" s="39"/>
      <c r="Y118" s="39">
        <v>1</v>
      </c>
      <c r="Z118" s="39"/>
      <c r="AA118" s="39"/>
      <c r="AB118" s="81">
        <f t="shared" ref="AB118:AB121" si="98">(Y118+AA118)-W118</f>
        <v>0</v>
      </c>
      <c r="AC118" s="112">
        <f t="shared" si="67"/>
        <v>1</v>
      </c>
      <c r="AD118" s="82">
        <f t="shared" si="68"/>
        <v>0</v>
      </c>
    </row>
    <row r="119" spans="1:30" ht="15.75" x14ac:dyDescent="0.25">
      <c r="A119" s="95"/>
      <c r="B119" s="113"/>
      <c r="C119" s="135" t="s">
        <v>127</v>
      </c>
      <c r="D119" s="47">
        <v>1.752</v>
      </c>
      <c r="E119" s="48">
        <v>2986.5</v>
      </c>
      <c r="F119" s="48">
        <f t="shared" si="73"/>
        <v>5232.348</v>
      </c>
      <c r="G119" s="117">
        <v>5232.3</v>
      </c>
      <c r="H119" s="85"/>
      <c r="I119" s="85"/>
      <c r="J119" s="51"/>
      <c r="K119" s="51"/>
      <c r="L119" s="51"/>
      <c r="M119" s="51">
        <f>G119+L119</f>
        <v>5232.3</v>
      </c>
      <c r="N119" s="51">
        <f>M119-F119</f>
        <v>-4.7999999999774445E-2</v>
      </c>
      <c r="O119" s="51">
        <v>2055.4</v>
      </c>
      <c r="P119" s="85">
        <v>1582.4</v>
      </c>
      <c r="Q119" s="85">
        <v>473</v>
      </c>
      <c r="R119" s="85"/>
      <c r="S119" s="52">
        <f t="shared" si="97"/>
        <v>2055.4</v>
      </c>
      <c r="T119" s="85"/>
      <c r="U119" s="85"/>
      <c r="V119" s="116">
        <f>T119+U119</f>
        <v>0</v>
      </c>
      <c r="W119" s="86">
        <v>5</v>
      </c>
      <c r="X119" s="56"/>
      <c r="Y119" s="56">
        <v>5</v>
      </c>
      <c r="Z119" s="56"/>
      <c r="AA119" s="56"/>
      <c r="AB119" s="57">
        <f t="shared" si="98"/>
        <v>0</v>
      </c>
      <c r="AC119" s="90">
        <f t="shared" si="67"/>
        <v>5</v>
      </c>
      <c r="AD119" s="58">
        <f t="shared" si="68"/>
        <v>0</v>
      </c>
    </row>
    <row r="120" spans="1:30" ht="15.75" x14ac:dyDescent="0.25">
      <c r="A120" s="95"/>
      <c r="B120" s="113"/>
      <c r="C120" s="135" t="s">
        <v>128</v>
      </c>
      <c r="D120" s="47">
        <v>1.1459999999999999</v>
      </c>
      <c r="E120" s="48">
        <v>4390.1000000000004</v>
      </c>
      <c r="F120" s="48">
        <f t="shared" si="73"/>
        <v>5031.0546000000004</v>
      </c>
      <c r="G120" s="49">
        <v>5008.1000000000004</v>
      </c>
      <c r="H120" s="173"/>
      <c r="I120" s="173"/>
      <c r="J120" s="51"/>
      <c r="K120" s="51"/>
      <c r="L120" s="51"/>
      <c r="M120" s="51">
        <f>G120+L120</f>
        <v>5008.1000000000004</v>
      </c>
      <c r="N120" s="51">
        <f>M120-F120</f>
        <v>-22.954600000000028</v>
      </c>
      <c r="O120" s="51">
        <v>2493</v>
      </c>
      <c r="P120" s="173">
        <v>1899.5</v>
      </c>
      <c r="Q120" s="173">
        <v>593.5</v>
      </c>
      <c r="R120" s="173"/>
      <c r="S120" s="52">
        <f t="shared" si="97"/>
        <v>2493</v>
      </c>
      <c r="T120" s="173"/>
      <c r="U120" s="173"/>
      <c r="V120" s="116">
        <f>T120+U120</f>
        <v>0</v>
      </c>
      <c r="W120" s="55">
        <v>7</v>
      </c>
      <c r="X120" s="56"/>
      <c r="Y120" s="56">
        <v>7</v>
      </c>
      <c r="Z120" s="56"/>
      <c r="AA120" s="56"/>
      <c r="AB120" s="57">
        <f t="shared" si="98"/>
        <v>0</v>
      </c>
      <c r="AC120" s="90">
        <f t="shared" si="67"/>
        <v>7</v>
      </c>
      <c r="AD120" s="58">
        <f t="shared" si="68"/>
        <v>0</v>
      </c>
    </row>
    <row r="121" spans="1:30" ht="15.75" x14ac:dyDescent="0.25">
      <c r="A121" s="95">
        <v>27</v>
      </c>
      <c r="B121" s="113"/>
      <c r="C121" s="135" t="s">
        <v>129</v>
      </c>
      <c r="D121" s="47">
        <v>1.0840000000000001</v>
      </c>
      <c r="E121" s="48">
        <v>4902.2</v>
      </c>
      <c r="F121" s="48">
        <f t="shared" si="73"/>
        <v>5313.9848000000002</v>
      </c>
      <c r="G121" s="117">
        <v>5112.5</v>
      </c>
      <c r="H121" s="85"/>
      <c r="I121" s="85"/>
      <c r="J121" s="51"/>
      <c r="K121" s="51"/>
      <c r="L121" s="51"/>
      <c r="M121" s="51">
        <f>G121+L121</f>
        <v>5112.5</v>
      </c>
      <c r="N121" s="51">
        <f>M121-F121</f>
        <v>-201.48480000000018</v>
      </c>
      <c r="O121" s="51">
        <v>2208.6999999999998</v>
      </c>
      <c r="P121" s="85">
        <v>1739.9</v>
      </c>
      <c r="Q121" s="85">
        <v>468.8</v>
      </c>
      <c r="R121" s="85"/>
      <c r="S121" s="52">
        <f t="shared" si="97"/>
        <v>2208.6999999999998</v>
      </c>
      <c r="T121" s="85"/>
      <c r="U121" s="85"/>
      <c r="V121" s="116">
        <f>T121+U121</f>
        <v>0</v>
      </c>
      <c r="W121" s="86">
        <v>9</v>
      </c>
      <c r="X121" s="56"/>
      <c r="Y121" s="56">
        <v>6</v>
      </c>
      <c r="Z121" s="56"/>
      <c r="AA121" s="56"/>
      <c r="AB121" s="57">
        <f t="shared" si="98"/>
        <v>-3</v>
      </c>
      <c r="AC121" s="90">
        <f t="shared" si="67"/>
        <v>6</v>
      </c>
      <c r="AD121" s="58">
        <f t="shared" si="68"/>
        <v>-3</v>
      </c>
    </row>
    <row r="122" spans="1:30" ht="16.5" thickBot="1" x14ac:dyDescent="0.3">
      <c r="A122" s="95"/>
      <c r="B122" s="118"/>
      <c r="C122" s="69" t="s">
        <v>65</v>
      </c>
      <c r="D122" s="119"/>
      <c r="E122" s="62"/>
      <c r="F122" s="62"/>
      <c r="G122" s="120">
        <f t="shared" ref="G122:M122" si="99">ROUND(SUM(G118:G121),3)</f>
        <v>17204.8</v>
      </c>
      <c r="H122" s="120">
        <f t="shared" si="99"/>
        <v>0</v>
      </c>
      <c r="I122" s="120">
        <f t="shared" si="99"/>
        <v>0</v>
      </c>
      <c r="J122" s="120">
        <f t="shared" si="99"/>
        <v>0</v>
      </c>
      <c r="K122" s="120"/>
      <c r="L122" s="120">
        <f t="shared" si="99"/>
        <v>0</v>
      </c>
      <c r="M122" s="120">
        <f t="shared" si="99"/>
        <v>17204.8</v>
      </c>
      <c r="N122" s="64"/>
      <c r="O122" s="120">
        <f t="shared" ref="O122:S122" si="100">ROUND(SUM(O118:O121),3)</f>
        <v>7407.1</v>
      </c>
      <c r="P122" s="120">
        <f t="shared" si="100"/>
        <v>5721</v>
      </c>
      <c r="Q122" s="120">
        <f t="shared" si="100"/>
        <v>1686.1</v>
      </c>
      <c r="R122" s="120">
        <f t="shared" si="100"/>
        <v>0</v>
      </c>
      <c r="S122" s="120">
        <f t="shared" si="100"/>
        <v>7407.1</v>
      </c>
      <c r="T122" s="120">
        <f>ROUND(SUM(T118:T121),3)</f>
        <v>0</v>
      </c>
      <c r="U122" s="120">
        <f>ROUND(SUM(U118:U121),3)</f>
        <v>0</v>
      </c>
      <c r="V122" s="121">
        <f>ROUND(SUM(V118:V121),3)</f>
        <v>0</v>
      </c>
      <c r="W122" s="122"/>
      <c r="X122" s="120">
        <f t="shared" ref="X122:AA122" si="101">ROUND(SUM(X118:X121),3)</f>
        <v>0</v>
      </c>
      <c r="Y122" s="120">
        <f t="shared" si="101"/>
        <v>19</v>
      </c>
      <c r="Z122" s="120">
        <f t="shared" si="101"/>
        <v>0</v>
      </c>
      <c r="AA122" s="120">
        <f t="shared" si="101"/>
        <v>0</v>
      </c>
      <c r="AB122" s="69"/>
      <c r="AC122" s="123">
        <f t="shared" si="67"/>
        <v>19</v>
      </c>
      <c r="AD122" s="71"/>
    </row>
    <row r="123" spans="1:30" ht="15.75" x14ac:dyDescent="0.25">
      <c r="A123" s="95"/>
      <c r="B123" s="108" t="s">
        <v>49</v>
      </c>
      <c r="C123" s="39" t="s">
        <v>130</v>
      </c>
      <c r="D123" s="73">
        <v>2.952</v>
      </c>
      <c r="E123" s="74">
        <v>440.7</v>
      </c>
      <c r="F123" s="74">
        <f t="shared" si="73"/>
        <v>1300.9464</v>
      </c>
      <c r="G123" s="136">
        <v>1300.9000000000001</v>
      </c>
      <c r="H123" s="124"/>
      <c r="I123" s="124"/>
      <c r="J123" s="76"/>
      <c r="K123" s="76"/>
      <c r="L123" s="76">
        <v>0</v>
      </c>
      <c r="M123" s="76">
        <f>G123+L123</f>
        <v>1300.9000000000001</v>
      </c>
      <c r="N123" s="76">
        <f>M123-F123</f>
        <v>-4.6399999999948704E-2</v>
      </c>
      <c r="O123" s="76">
        <v>629.79999999999995</v>
      </c>
      <c r="P123" s="124">
        <v>484.8</v>
      </c>
      <c r="Q123" s="124">
        <v>144.9</v>
      </c>
      <c r="R123" s="110"/>
      <c r="S123" s="77">
        <f t="shared" ref="S123:S125" si="102">O123+R123</f>
        <v>629.79999999999995</v>
      </c>
      <c r="T123" s="110"/>
      <c r="U123" s="110"/>
      <c r="V123" s="111">
        <f>T123+U123</f>
        <v>0</v>
      </c>
      <c r="W123" s="80">
        <v>1</v>
      </c>
      <c r="X123" s="39"/>
      <c r="Y123" s="39">
        <v>1</v>
      </c>
      <c r="Z123" s="39"/>
      <c r="AA123" s="39"/>
      <c r="AB123" s="81">
        <f t="shared" ref="AB123:AB125" si="103">(Y123+AA123)-W123</f>
        <v>0</v>
      </c>
      <c r="AC123" s="112">
        <f t="shared" si="67"/>
        <v>1</v>
      </c>
      <c r="AD123" s="82">
        <f t="shared" si="68"/>
        <v>0</v>
      </c>
    </row>
    <row r="124" spans="1:30" ht="15.75" x14ac:dyDescent="0.25">
      <c r="A124" s="95"/>
      <c r="B124" s="113"/>
      <c r="C124" s="85" t="s">
        <v>131</v>
      </c>
      <c r="D124" s="47">
        <v>0.35799999999999998</v>
      </c>
      <c r="E124" s="48">
        <v>5231.6000000000004</v>
      </c>
      <c r="F124" s="48">
        <f t="shared" si="73"/>
        <v>1872.9128000000001</v>
      </c>
      <c r="G124" s="117">
        <v>1867.9</v>
      </c>
      <c r="H124" s="85"/>
      <c r="I124" s="85"/>
      <c r="J124" s="51"/>
      <c r="K124" s="51"/>
      <c r="L124" s="51">
        <v>5</v>
      </c>
      <c r="M124" s="51">
        <f>G124+L124</f>
        <v>1872.9</v>
      </c>
      <c r="N124" s="51">
        <f>M124-F124</f>
        <v>-1.2799999999970169E-2</v>
      </c>
      <c r="O124" s="51">
        <v>471.5</v>
      </c>
      <c r="P124" s="85">
        <v>362.2</v>
      </c>
      <c r="Q124" s="85">
        <v>109.4</v>
      </c>
      <c r="R124" s="85">
        <v>34.6</v>
      </c>
      <c r="S124" s="52">
        <f t="shared" si="102"/>
        <v>506.1</v>
      </c>
      <c r="T124" s="85"/>
      <c r="U124" s="85"/>
      <c r="V124" s="116">
        <f>T124+U124</f>
        <v>0</v>
      </c>
      <c r="W124" s="55">
        <v>3</v>
      </c>
      <c r="X124" s="56"/>
      <c r="Y124" s="56">
        <v>3</v>
      </c>
      <c r="Z124" s="56"/>
      <c r="AA124" s="56"/>
      <c r="AB124" s="57">
        <f t="shared" si="103"/>
        <v>0</v>
      </c>
      <c r="AC124" s="90">
        <f t="shared" si="67"/>
        <v>3</v>
      </c>
      <c r="AD124" s="58">
        <f t="shared" si="68"/>
        <v>0</v>
      </c>
    </row>
    <row r="125" spans="1:30" ht="15.75" x14ac:dyDescent="0.25">
      <c r="A125" s="95">
        <v>34</v>
      </c>
      <c r="B125" s="113"/>
      <c r="C125" s="135" t="s">
        <v>132</v>
      </c>
      <c r="D125" s="47">
        <v>1.4339999999999999</v>
      </c>
      <c r="E125" s="48">
        <v>6044.6</v>
      </c>
      <c r="F125" s="48">
        <f t="shared" si="73"/>
        <v>8667.9564000000009</v>
      </c>
      <c r="G125" s="117">
        <v>8419.7999999999993</v>
      </c>
      <c r="H125" s="85"/>
      <c r="I125" s="85"/>
      <c r="J125" s="51"/>
      <c r="K125" s="51"/>
      <c r="L125" s="51">
        <v>25</v>
      </c>
      <c r="M125" s="51">
        <f>G125+L125</f>
        <v>8444.7999999999993</v>
      </c>
      <c r="N125" s="51">
        <f>M125-F125</f>
        <v>-223.15640000000167</v>
      </c>
      <c r="O125" s="51">
        <v>2448.6</v>
      </c>
      <c r="P125" s="85">
        <v>1883.1</v>
      </c>
      <c r="Q125" s="85">
        <v>565.5</v>
      </c>
      <c r="R125" s="85"/>
      <c r="S125" s="52">
        <f t="shared" si="102"/>
        <v>2448.6</v>
      </c>
      <c r="T125" s="85"/>
      <c r="U125" s="85"/>
      <c r="V125" s="116">
        <f>T125+U125</f>
        <v>0</v>
      </c>
      <c r="W125" s="55">
        <v>7</v>
      </c>
      <c r="X125" s="56"/>
      <c r="Y125" s="56">
        <v>7</v>
      </c>
      <c r="Z125" s="56"/>
      <c r="AA125" s="56"/>
      <c r="AB125" s="57">
        <f t="shared" si="103"/>
        <v>0</v>
      </c>
      <c r="AC125" s="90">
        <f t="shared" si="67"/>
        <v>7</v>
      </c>
      <c r="AD125" s="58">
        <f t="shared" si="68"/>
        <v>0</v>
      </c>
    </row>
    <row r="126" spans="1:30" ht="16.5" thickBot="1" x14ac:dyDescent="0.3">
      <c r="A126" s="95"/>
      <c r="B126" s="118"/>
      <c r="C126" s="69" t="s">
        <v>65</v>
      </c>
      <c r="D126" s="119"/>
      <c r="E126" s="62"/>
      <c r="F126" s="62"/>
      <c r="G126" s="120">
        <f t="shared" ref="G126:M126" si="104">ROUND(SUM(G123:G125),3)</f>
        <v>11588.6</v>
      </c>
      <c r="H126" s="120">
        <f t="shared" si="104"/>
        <v>0</v>
      </c>
      <c r="I126" s="120">
        <f t="shared" si="104"/>
        <v>0</v>
      </c>
      <c r="J126" s="120">
        <f t="shared" si="104"/>
        <v>0</v>
      </c>
      <c r="K126" s="120">
        <f t="shared" si="104"/>
        <v>0</v>
      </c>
      <c r="L126" s="120">
        <f t="shared" si="104"/>
        <v>30</v>
      </c>
      <c r="M126" s="120">
        <f t="shared" si="104"/>
        <v>11618.6</v>
      </c>
      <c r="N126" s="64"/>
      <c r="O126" s="120">
        <f t="shared" ref="O126:S126" si="105">ROUND(SUM(O123:O125),3)</f>
        <v>3549.9</v>
      </c>
      <c r="P126" s="120">
        <f t="shared" si="105"/>
        <v>2730.1</v>
      </c>
      <c r="Q126" s="120">
        <f t="shared" si="105"/>
        <v>819.8</v>
      </c>
      <c r="R126" s="120">
        <f t="shared" si="105"/>
        <v>34.6</v>
      </c>
      <c r="S126" s="120">
        <f t="shared" si="105"/>
        <v>3584.5</v>
      </c>
      <c r="T126" s="120">
        <f>ROUND(SUM(T123:T125),3)</f>
        <v>0</v>
      </c>
      <c r="U126" s="120">
        <f>ROUND(SUM(U123:U125),3)</f>
        <v>0</v>
      </c>
      <c r="V126" s="121">
        <f>ROUND(SUM(V123:V125),3)</f>
        <v>0</v>
      </c>
      <c r="W126" s="122"/>
      <c r="X126" s="120">
        <f t="shared" ref="X126:AA126" si="106">ROUND(SUM(X123:X125),3)</f>
        <v>0</v>
      </c>
      <c r="Y126" s="120">
        <f t="shared" si="106"/>
        <v>11</v>
      </c>
      <c r="Z126" s="120">
        <f t="shared" si="106"/>
        <v>0</v>
      </c>
      <c r="AA126" s="120">
        <f t="shared" si="106"/>
        <v>0</v>
      </c>
      <c r="AB126" s="69"/>
      <c r="AC126" s="123">
        <f t="shared" si="67"/>
        <v>11</v>
      </c>
      <c r="AD126" s="71"/>
    </row>
    <row r="127" spans="1:30" ht="15.75" x14ac:dyDescent="0.25">
      <c r="A127" s="95"/>
      <c r="B127" s="108" t="s">
        <v>50</v>
      </c>
      <c r="C127" s="39" t="s">
        <v>133</v>
      </c>
      <c r="D127" s="73">
        <v>14.047000000000001</v>
      </c>
      <c r="E127" s="74">
        <v>110.3</v>
      </c>
      <c r="F127" s="74">
        <f t="shared" si="73"/>
        <v>1549.3841</v>
      </c>
      <c r="G127" s="109">
        <v>996.8</v>
      </c>
      <c r="H127" s="110"/>
      <c r="I127" s="110"/>
      <c r="J127" s="76"/>
      <c r="K127" s="76"/>
      <c r="L127" s="76">
        <v>42</v>
      </c>
      <c r="M127" s="76">
        <f>G127+L127</f>
        <v>1038.8</v>
      </c>
      <c r="N127" s="172">
        <f>M127-F127</f>
        <v>-510.58410000000003</v>
      </c>
      <c r="O127" s="76">
        <v>469.7</v>
      </c>
      <c r="P127" s="110">
        <v>368</v>
      </c>
      <c r="Q127" s="110">
        <v>101.7</v>
      </c>
      <c r="R127" s="110">
        <v>35.6</v>
      </c>
      <c r="S127" s="77">
        <f t="shared" ref="S127:S130" si="107">O127+R127</f>
        <v>505.3</v>
      </c>
      <c r="T127" s="110"/>
      <c r="U127" s="110"/>
      <c r="V127" s="111">
        <f>T127+U127</f>
        <v>0</v>
      </c>
      <c r="W127" s="80">
        <v>1</v>
      </c>
      <c r="X127" s="39"/>
      <c r="Y127" s="39">
        <v>1</v>
      </c>
      <c r="Z127" s="39"/>
      <c r="AA127" s="39"/>
      <c r="AB127" s="57">
        <f t="shared" ref="AB127:AB130" si="108">(Y127+AA127)-W127</f>
        <v>0</v>
      </c>
      <c r="AC127" s="112">
        <f t="shared" si="67"/>
        <v>1</v>
      </c>
      <c r="AD127" s="174">
        <f t="shared" si="68"/>
        <v>0</v>
      </c>
    </row>
    <row r="128" spans="1:30" ht="15.75" x14ac:dyDescent="0.25">
      <c r="A128" s="95"/>
      <c r="B128" s="113"/>
      <c r="C128" s="85" t="s">
        <v>134</v>
      </c>
      <c r="D128" s="47">
        <v>2.919</v>
      </c>
      <c r="E128" s="48">
        <v>2763.4</v>
      </c>
      <c r="F128" s="48">
        <f t="shared" si="73"/>
        <v>8066.3646000000008</v>
      </c>
      <c r="G128" s="117">
        <v>6645.8</v>
      </c>
      <c r="H128" s="85"/>
      <c r="I128" s="85"/>
      <c r="J128" s="51"/>
      <c r="K128" s="51"/>
      <c r="L128" s="51">
        <v>9</v>
      </c>
      <c r="M128" s="51">
        <f>G128+L128</f>
        <v>6654.8</v>
      </c>
      <c r="N128" s="51">
        <f>M128-F128</f>
        <v>-1411.5646000000006</v>
      </c>
      <c r="O128" s="51">
        <v>3429.2</v>
      </c>
      <c r="P128" s="85">
        <v>2608.6</v>
      </c>
      <c r="Q128" s="85">
        <v>820.6</v>
      </c>
      <c r="R128" s="85"/>
      <c r="S128" s="52">
        <f t="shared" si="107"/>
        <v>3429.2</v>
      </c>
      <c r="T128" s="85"/>
      <c r="U128" s="85"/>
      <c r="V128" s="116">
        <f>T128+U128</f>
        <v>0</v>
      </c>
      <c r="W128" s="55">
        <v>5</v>
      </c>
      <c r="X128" s="56"/>
      <c r="Y128" s="56">
        <v>5</v>
      </c>
      <c r="Z128" s="56"/>
      <c r="AA128" s="56"/>
      <c r="AB128" s="57">
        <f t="shared" si="108"/>
        <v>0</v>
      </c>
      <c r="AC128" s="90">
        <f t="shared" si="67"/>
        <v>5</v>
      </c>
      <c r="AD128" s="58">
        <f t="shared" si="68"/>
        <v>0</v>
      </c>
    </row>
    <row r="129" spans="1:30" ht="15.75" x14ac:dyDescent="0.25">
      <c r="A129" s="95"/>
      <c r="B129" s="113"/>
      <c r="C129" s="175" t="s">
        <v>135</v>
      </c>
      <c r="D129" s="47">
        <v>1.1970000000000001</v>
      </c>
      <c r="E129" s="48">
        <v>2912.5</v>
      </c>
      <c r="F129" s="48">
        <f t="shared" si="73"/>
        <v>3486.2625000000003</v>
      </c>
      <c r="G129" s="117">
        <v>3229.4</v>
      </c>
      <c r="H129" s="85"/>
      <c r="I129" s="85"/>
      <c r="J129" s="51"/>
      <c r="K129" s="51"/>
      <c r="L129" s="51">
        <v>256.39999999999998</v>
      </c>
      <c r="M129" s="51">
        <f>G129+L129</f>
        <v>3485.8</v>
      </c>
      <c r="N129" s="51">
        <f>M129-F129</f>
        <v>-0.46250000000009095</v>
      </c>
      <c r="O129" s="51">
        <v>1338.2</v>
      </c>
      <c r="P129" s="85">
        <v>1027.8</v>
      </c>
      <c r="Q129" s="85">
        <v>310.39999999999998</v>
      </c>
      <c r="R129" s="85">
        <v>248.7</v>
      </c>
      <c r="S129" s="52">
        <f t="shared" si="107"/>
        <v>1586.9</v>
      </c>
      <c r="T129" s="85"/>
      <c r="U129" s="85"/>
      <c r="V129" s="116">
        <f>T129+U129</f>
        <v>0</v>
      </c>
      <c r="W129" s="55">
        <v>4</v>
      </c>
      <c r="X129" s="56"/>
      <c r="Y129" s="56">
        <v>3</v>
      </c>
      <c r="Z129" s="56"/>
      <c r="AA129" s="56">
        <v>0.35</v>
      </c>
      <c r="AB129" s="57">
        <f>(Y129+AA129)-W129</f>
        <v>-0.64999999999999991</v>
      </c>
      <c r="AC129" s="90">
        <v>3.5</v>
      </c>
      <c r="AD129" s="58">
        <f t="shared" si="68"/>
        <v>-0.5</v>
      </c>
    </row>
    <row r="130" spans="1:30" ht="15.75" x14ac:dyDescent="0.25">
      <c r="A130" s="95"/>
      <c r="B130" s="113"/>
      <c r="C130" s="85" t="s">
        <v>136</v>
      </c>
      <c r="D130" s="47">
        <v>0.65900000000000003</v>
      </c>
      <c r="E130" s="48">
        <v>4944.8</v>
      </c>
      <c r="F130" s="48">
        <f t="shared" si="73"/>
        <v>3258.6232000000005</v>
      </c>
      <c r="G130" s="117">
        <v>3227.8</v>
      </c>
      <c r="H130" s="85"/>
      <c r="I130" s="85"/>
      <c r="J130" s="51"/>
      <c r="K130" s="51"/>
      <c r="L130" s="51">
        <v>199.2</v>
      </c>
      <c r="M130" s="51">
        <f>G130+L130</f>
        <v>3427</v>
      </c>
      <c r="N130" s="51">
        <f>M130-F130</f>
        <v>168.37679999999955</v>
      </c>
      <c r="O130" s="51">
        <v>996.1</v>
      </c>
      <c r="P130" s="85">
        <v>768.8</v>
      </c>
      <c r="Q130" s="85">
        <v>227.4</v>
      </c>
      <c r="R130" s="85">
        <v>171.3</v>
      </c>
      <c r="S130" s="52">
        <f t="shared" si="107"/>
        <v>1167.4000000000001</v>
      </c>
      <c r="T130" s="85"/>
      <c r="U130" s="85"/>
      <c r="V130" s="116">
        <f>T130+U130</f>
        <v>0</v>
      </c>
      <c r="W130" s="55">
        <v>3</v>
      </c>
      <c r="X130" s="56"/>
      <c r="Y130" s="56">
        <v>2</v>
      </c>
      <c r="Z130" s="56"/>
      <c r="AA130" s="56">
        <v>0.28000000000000003</v>
      </c>
      <c r="AB130" s="57">
        <f t="shared" si="108"/>
        <v>-0.71999999999999975</v>
      </c>
      <c r="AC130" s="90">
        <f t="shared" si="67"/>
        <v>2.2800000000000002</v>
      </c>
      <c r="AD130" s="58">
        <f t="shared" si="68"/>
        <v>-0.71999999999999975</v>
      </c>
    </row>
    <row r="131" spans="1:30" ht="16.5" thickBot="1" x14ac:dyDescent="0.3">
      <c r="A131" s="95"/>
      <c r="B131" s="118"/>
      <c r="C131" s="69" t="s">
        <v>65</v>
      </c>
      <c r="D131" s="119"/>
      <c r="E131" s="62"/>
      <c r="F131" s="62"/>
      <c r="G131" s="120">
        <f t="shared" ref="G131:M131" si="109">ROUND(SUM(G127:G130),3)</f>
        <v>14099.8</v>
      </c>
      <c r="H131" s="120">
        <f t="shared" si="109"/>
        <v>0</v>
      </c>
      <c r="I131" s="120">
        <f t="shared" si="109"/>
        <v>0</v>
      </c>
      <c r="J131" s="120">
        <f t="shared" si="109"/>
        <v>0</v>
      </c>
      <c r="K131" s="120">
        <f t="shared" si="109"/>
        <v>0</v>
      </c>
      <c r="L131" s="120">
        <f t="shared" si="109"/>
        <v>506.6</v>
      </c>
      <c r="M131" s="120">
        <f t="shared" si="109"/>
        <v>14606.4</v>
      </c>
      <c r="N131" s="64"/>
      <c r="O131" s="120">
        <f t="shared" ref="O131:V131" si="110">ROUND(SUM(O127:O130),3)</f>
        <v>6233.2</v>
      </c>
      <c r="P131" s="120">
        <f t="shared" si="110"/>
        <v>4773.2</v>
      </c>
      <c r="Q131" s="120">
        <f t="shared" si="110"/>
        <v>1460.1</v>
      </c>
      <c r="R131" s="120">
        <f t="shared" si="110"/>
        <v>455.6</v>
      </c>
      <c r="S131" s="120">
        <f t="shared" si="110"/>
        <v>6688.8</v>
      </c>
      <c r="T131" s="120">
        <f t="shared" si="110"/>
        <v>0</v>
      </c>
      <c r="U131" s="120">
        <f t="shared" si="110"/>
        <v>0</v>
      </c>
      <c r="V131" s="121">
        <f t="shared" si="110"/>
        <v>0</v>
      </c>
      <c r="W131" s="122"/>
      <c r="X131" s="120">
        <f>ROUND(SUM(X127:X130),3)</f>
        <v>0</v>
      </c>
      <c r="Y131" s="120">
        <f>ROUND(SUM(Y127:Y130),3)</f>
        <v>11</v>
      </c>
      <c r="Z131" s="120">
        <f>ROUND(SUM(Z127:Z130),3)</f>
        <v>0</v>
      </c>
      <c r="AA131" s="120">
        <f>ROUND(SUM(AA127:AA130),3)</f>
        <v>0.63</v>
      </c>
      <c r="AB131" s="69"/>
      <c r="AC131" s="123">
        <v>11.8</v>
      </c>
      <c r="AD131" s="71"/>
    </row>
    <row r="132" spans="1:30" ht="15.75" x14ac:dyDescent="0.25">
      <c r="A132" s="95"/>
      <c r="B132" s="176" t="s">
        <v>51</v>
      </c>
      <c r="C132" s="39" t="s">
        <v>137</v>
      </c>
      <c r="D132" s="156">
        <v>6.5830000000000002</v>
      </c>
      <c r="E132" s="74">
        <v>0</v>
      </c>
      <c r="F132" s="74">
        <v>0</v>
      </c>
      <c r="G132" s="157">
        <v>0</v>
      </c>
      <c r="H132" s="157"/>
      <c r="I132" s="157"/>
      <c r="J132" s="157"/>
      <c r="K132" s="157"/>
      <c r="L132" s="177">
        <v>0</v>
      </c>
      <c r="M132" s="76">
        <f>G132+L132</f>
        <v>0</v>
      </c>
      <c r="N132" s="76">
        <f>M132-F132</f>
        <v>0</v>
      </c>
      <c r="O132" s="157"/>
      <c r="P132" s="157"/>
      <c r="Q132" s="157"/>
      <c r="R132" s="157"/>
      <c r="S132" s="157"/>
      <c r="T132" s="157"/>
      <c r="U132" s="157"/>
      <c r="V132" s="178"/>
      <c r="W132" s="179">
        <v>0</v>
      </c>
      <c r="X132" s="157"/>
      <c r="Y132" s="157"/>
      <c r="Z132" s="157"/>
      <c r="AA132" s="157"/>
      <c r="AB132" s="157">
        <v>0</v>
      </c>
      <c r="AC132" s="157">
        <v>0</v>
      </c>
      <c r="AD132" s="82">
        <v>0</v>
      </c>
    </row>
    <row r="133" spans="1:30" ht="15.75" x14ac:dyDescent="0.25">
      <c r="A133" s="95"/>
      <c r="B133" s="180"/>
      <c r="C133" s="175" t="s">
        <v>138</v>
      </c>
      <c r="D133" s="47">
        <v>0.69399999999999995</v>
      </c>
      <c r="E133" s="48">
        <v>5051.8</v>
      </c>
      <c r="F133" s="48">
        <f t="shared" si="73"/>
        <v>3505.9492</v>
      </c>
      <c r="G133" s="117">
        <v>3267</v>
      </c>
      <c r="H133" s="85"/>
      <c r="I133" s="85"/>
      <c r="J133" s="51"/>
      <c r="K133" s="51"/>
      <c r="L133" s="181">
        <v>0</v>
      </c>
      <c r="M133" s="51">
        <f>G133+L133</f>
        <v>3267</v>
      </c>
      <c r="N133" s="51">
        <f>M133-F133</f>
        <v>-238.94920000000002</v>
      </c>
      <c r="O133" s="51">
        <v>1029.5</v>
      </c>
      <c r="P133" s="85">
        <v>792.6</v>
      </c>
      <c r="Q133" s="85">
        <v>236.9</v>
      </c>
      <c r="R133" s="85"/>
      <c r="S133" s="52">
        <f t="shared" ref="S133:S136" si="111">O133+R133</f>
        <v>1029.5</v>
      </c>
      <c r="T133" s="85"/>
      <c r="U133" s="85"/>
      <c r="V133" s="116">
        <f>T133+U133</f>
        <v>0</v>
      </c>
      <c r="W133" s="55">
        <v>3</v>
      </c>
      <c r="X133" s="56"/>
      <c r="Y133" s="56">
        <v>3</v>
      </c>
      <c r="Z133" s="56"/>
      <c r="AA133" s="56"/>
      <c r="AB133" s="57">
        <f t="shared" ref="AB133:AB136" si="112">(Y133+AA133)-W133</f>
        <v>0</v>
      </c>
      <c r="AC133" s="90">
        <f t="shared" si="67"/>
        <v>3</v>
      </c>
      <c r="AD133" s="58">
        <f t="shared" si="68"/>
        <v>0</v>
      </c>
    </row>
    <row r="134" spans="1:30" ht="15.75" x14ac:dyDescent="0.25">
      <c r="A134" s="95"/>
      <c r="B134" s="180"/>
      <c r="C134" s="175" t="s">
        <v>139</v>
      </c>
      <c r="D134" s="47">
        <v>1.649</v>
      </c>
      <c r="E134" s="48">
        <v>3107.5</v>
      </c>
      <c r="F134" s="48">
        <f t="shared" si="73"/>
        <v>5124.2674999999999</v>
      </c>
      <c r="G134" s="117">
        <v>5124.3</v>
      </c>
      <c r="H134" s="85"/>
      <c r="I134" s="85"/>
      <c r="J134" s="51"/>
      <c r="K134" s="51"/>
      <c r="L134" s="181">
        <v>0</v>
      </c>
      <c r="M134" s="51">
        <f>G134+L134</f>
        <v>5124.3</v>
      </c>
      <c r="N134" s="51">
        <f>M134-F134</f>
        <v>3.2500000000254659E-2</v>
      </c>
      <c r="O134" s="51">
        <v>1567.1</v>
      </c>
      <c r="P134" s="85">
        <v>1203.5999999999999</v>
      </c>
      <c r="Q134" s="85">
        <v>363.5</v>
      </c>
      <c r="R134" s="85"/>
      <c r="S134" s="52">
        <f t="shared" si="111"/>
        <v>1567.1</v>
      </c>
      <c r="T134" s="85"/>
      <c r="U134" s="85"/>
      <c r="V134" s="116">
        <f>T134+U134</f>
        <v>0</v>
      </c>
      <c r="W134" s="55">
        <v>5</v>
      </c>
      <c r="X134" s="56"/>
      <c r="Y134" s="56">
        <v>5</v>
      </c>
      <c r="Z134" s="56"/>
      <c r="AA134" s="56"/>
      <c r="AB134" s="57">
        <f t="shared" si="112"/>
        <v>0</v>
      </c>
      <c r="AC134" s="90">
        <f t="shared" si="67"/>
        <v>5</v>
      </c>
      <c r="AD134" s="58">
        <f t="shared" si="68"/>
        <v>0</v>
      </c>
    </row>
    <row r="135" spans="1:30" ht="15.75" x14ac:dyDescent="0.25">
      <c r="A135" s="95">
        <v>35</v>
      </c>
      <c r="B135" s="180"/>
      <c r="C135" s="175" t="s">
        <v>140</v>
      </c>
      <c r="D135" s="47">
        <v>0.495</v>
      </c>
      <c r="E135" s="48">
        <v>6562.1</v>
      </c>
      <c r="F135" s="48">
        <f t="shared" si="73"/>
        <v>3248.2395000000001</v>
      </c>
      <c r="G135" s="117">
        <v>3027.3</v>
      </c>
      <c r="H135" s="85"/>
      <c r="I135" s="85"/>
      <c r="J135" s="51"/>
      <c r="K135" s="51"/>
      <c r="L135" s="181">
        <v>0</v>
      </c>
      <c r="M135" s="51">
        <f>G135+L135</f>
        <v>3027.3</v>
      </c>
      <c r="N135" s="51">
        <f>M135-F135</f>
        <v>-220.93949999999995</v>
      </c>
      <c r="O135" s="51">
        <v>750.5</v>
      </c>
      <c r="P135" s="85">
        <v>577.29999999999995</v>
      </c>
      <c r="Q135" s="85">
        <v>173.2</v>
      </c>
      <c r="R135" s="85"/>
      <c r="S135" s="52">
        <f t="shared" si="111"/>
        <v>750.5</v>
      </c>
      <c r="T135" s="85"/>
      <c r="U135" s="85"/>
      <c r="V135" s="116">
        <f>T135+U135</f>
        <v>0</v>
      </c>
      <c r="W135" s="55">
        <v>3</v>
      </c>
      <c r="X135" s="56"/>
      <c r="Y135" s="56">
        <v>3</v>
      </c>
      <c r="Z135" s="56"/>
      <c r="AA135" s="56"/>
      <c r="AB135" s="57">
        <f t="shared" si="112"/>
        <v>0</v>
      </c>
      <c r="AC135" s="90">
        <f t="shared" si="67"/>
        <v>3</v>
      </c>
      <c r="AD135" s="58">
        <f t="shared" si="68"/>
        <v>0</v>
      </c>
    </row>
    <row r="136" spans="1:30" ht="15.75" x14ac:dyDescent="0.25">
      <c r="A136" s="95"/>
      <c r="B136" s="180"/>
      <c r="C136" s="175" t="s">
        <v>141</v>
      </c>
      <c r="D136" s="47">
        <v>1.117</v>
      </c>
      <c r="E136" s="48">
        <v>4460.3999999999996</v>
      </c>
      <c r="F136" s="48">
        <f t="shared" si="73"/>
        <v>4982.2667999999994</v>
      </c>
      <c r="G136" s="117">
        <v>4982.3</v>
      </c>
      <c r="H136" s="85"/>
      <c r="I136" s="85"/>
      <c r="J136" s="51"/>
      <c r="K136" s="51"/>
      <c r="L136" s="181">
        <v>0</v>
      </c>
      <c r="M136" s="51">
        <f>G136+L136</f>
        <v>4982.3</v>
      </c>
      <c r="N136" s="51">
        <f>M136-F136</f>
        <v>3.3200000000761065E-2</v>
      </c>
      <c r="O136" s="51">
        <v>1399.5</v>
      </c>
      <c r="P136" s="85">
        <v>1077.7</v>
      </c>
      <c r="Q136" s="85">
        <v>321.8</v>
      </c>
      <c r="R136" s="85"/>
      <c r="S136" s="52">
        <f t="shared" si="111"/>
        <v>1399.5</v>
      </c>
      <c r="T136" s="85"/>
      <c r="U136" s="85"/>
      <c r="V136" s="116">
        <f>T136+U136</f>
        <v>0</v>
      </c>
      <c r="W136" s="55">
        <v>4</v>
      </c>
      <c r="X136" s="56"/>
      <c r="Y136" s="56">
        <v>4</v>
      </c>
      <c r="Z136" s="56"/>
      <c r="AA136" s="56"/>
      <c r="AB136" s="57">
        <f t="shared" si="112"/>
        <v>0</v>
      </c>
      <c r="AC136" s="90">
        <f t="shared" si="67"/>
        <v>4</v>
      </c>
      <c r="AD136" s="58">
        <f t="shared" si="68"/>
        <v>0</v>
      </c>
    </row>
    <row r="137" spans="1:30" ht="16.5" thickBot="1" x14ac:dyDescent="0.3">
      <c r="A137" s="95"/>
      <c r="B137" s="182"/>
      <c r="C137" s="69" t="s">
        <v>65</v>
      </c>
      <c r="D137" s="119"/>
      <c r="E137" s="62"/>
      <c r="F137" s="62"/>
      <c r="G137" s="120">
        <f>ROUND(SUM(G132:G136),3)</f>
        <v>16400.900000000001</v>
      </c>
      <c r="H137" s="120">
        <f t="shared" ref="H137:L137" si="113">ROUND(SUM(H132:H136),3)</f>
        <v>0</v>
      </c>
      <c r="I137" s="120">
        <f t="shared" si="113"/>
        <v>0</v>
      </c>
      <c r="J137" s="120">
        <f t="shared" si="113"/>
        <v>0</v>
      </c>
      <c r="K137" s="120">
        <f t="shared" si="113"/>
        <v>0</v>
      </c>
      <c r="L137" s="183">
        <f t="shared" si="113"/>
        <v>0</v>
      </c>
      <c r="M137" s="120">
        <f t="shared" ref="M137" si="114">ROUND(SUM(M133:M136),3)</f>
        <v>16400.900000000001</v>
      </c>
      <c r="N137" s="64"/>
      <c r="O137" s="120">
        <f t="shared" ref="O137:S137" si="115">ROUND(SUM(O133:O136),3)</f>
        <v>4746.6000000000004</v>
      </c>
      <c r="P137" s="120">
        <f t="shared" si="115"/>
        <v>3651.2</v>
      </c>
      <c r="Q137" s="120">
        <f t="shared" si="115"/>
        <v>1095.4000000000001</v>
      </c>
      <c r="R137" s="120">
        <f t="shared" si="115"/>
        <v>0</v>
      </c>
      <c r="S137" s="120">
        <f t="shared" si="115"/>
        <v>4746.6000000000004</v>
      </c>
      <c r="T137" s="120">
        <f>ROUND(SUM(T133:T136),3)</f>
        <v>0</v>
      </c>
      <c r="U137" s="120">
        <f>ROUND(SUM(U133:U136),3)</f>
        <v>0</v>
      </c>
      <c r="V137" s="121">
        <f>ROUND(SUM(V133:V136),3)</f>
        <v>0</v>
      </c>
      <c r="W137" s="122"/>
      <c r="X137" s="126">
        <f t="shared" ref="X137:AA137" si="116">ROUND(SUM(X133:X136),3)</f>
        <v>0</v>
      </c>
      <c r="Y137" s="120">
        <f t="shared" si="116"/>
        <v>15</v>
      </c>
      <c r="Z137" s="120">
        <f t="shared" si="116"/>
        <v>0</v>
      </c>
      <c r="AA137" s="120">
        <f t="shared" si="116"/>
        <v>0</v>
      </c>
      <c r="AB137" s="69"/>
      <c r="AC137" s="123">
        <f t="shared" si="67"/>
        <v>15</v>
      </c>
      <c r="AD137" s="71"/>
    </row>
    <row r="138" spans="1:30" ht="15.75" x14ac:dyDescent="0.25">
      <c r="A138" s="95"/>
      <c r="B138" s="108" t="s">
        <v>52</v>
      </c>
      <c r="C138" s="39" t="s">
        <v>142</v>
      </c>
      <c r="D138" s="73">
        <v>23.603000000000002</v>
      </c>
      <c r="E138" s="74">
        <v>132.80000000000001</v>
      </c>
      <c r="F138" s="74">
        <f t="shared" ref="F138:F176" si="117">E138*D138</f>
        <v>3134.4784000000004</v>
      </c>
      <c r="G138" s="109">
        <v>3126.7</v>
      </c>
      <c r="H138" s="110"/>
      <c r="I138" s="110"/>
      <c r="J138" s="76"/>
      <c r="K138" s="76"/>
      <c r="L138" s="76"/>
      <c r="M138" s="76">
        <f>G138+L138</f>
        <v>3126.7</v>
      </c>
      <c r="N138" s="76">
        <f>M138-F138</f>
        <v>-7.7784000000006017</v>
      </c>
      <c r="O138" s="76">
        <v>776.9</v>
      </c>
      <c r="P138" s="110">
        <v>596.70000000000005</v>
      </c>
      <c r="Q138" s="110">
        <v>180.2</v>
      </c>
      <c r="R138" s="110"/>
      <c r="S138" s="77">
        <f t="shared" ref="S138:S141" si="118">O138+R138</f>
        <v>776.9</v>
      </c>
      <c r="T138" s="110"/>
      <c r="U138" s="110"/>
      <c r="V138" s="111">
        <f>T138+U138</f>
        <v>0</v>
      </c>
      <c r="W138" s="80">
        <v>1</v>
      </c>
      <c r="X138" s="39"/>
      <c r="Y138" s="39">
        <v>1</v>
      </c>
      <c r="Z138" s="39"/>
      <c r="AA138" s="39"/>
      <c r="AB138" s="81">
        <f t="shared" ref="AB138:AB141" si="119">(Y138+AA138)-W138</f>
        <v>0</v>
      </c>
      <c r="AC138" s="112">
        <f t="shared" si="67"/>
        <v>1</v>
      </c>
      <c r="AD138" s="82">
        <f t="shared" si="68"/>
        <v>0</v>
      </c>
    </row>
    <row r="139" spans="1:30" ht="15.75" x14ac:dyDescent="0.25">
      <c r="A139" s="95"/>
      <c r="B139" s="113"/>
      <c r="C139" s="135" t="s">
        <v>143</v>
      </c>
      <c r="D139" s="47">
        <v>2.577</v>
      </c>
      <c r="E139" s="48">
        <v>2460.6999999999998</v>
      </c>
      <c r="F139" s="48">
        <f t="shared" si="117"/>
        <v>6341.223899999999</v>
      </c>
      <c r="G139" s="117">
        <v>5146.8</v>
      </c>
      <c r="H139" s="85"/>
      <c r="I139" s="85"/>
      <c r="J139" s="51"/>
      <c r="K139" s="51"/>
      <c r="L139" s="51"/>
      <c r="M139" s="51">
        <f>G139+L139</f>
        <v>5146.8</v>
      </c>
      <c r="N139" s="51">
        <f>M139-F139</f>
        <v>-1194.4238999999989</v>
      </c>
      <c r="O139" s="51">
        <v>2193.3000000000002</v>
      </c>
      <c r="P139" s="85">
        <v>1688.4</v>
      </c>
      <c r="Q139" s="85">
        <v>504.9</v>
      </c>
      <c r="R139" s="85"/>
      <c r="S139" s="52">
        <f t="shared" si="118"/>
        <v>2193.3000000000002</v>
      </c>
      <c r="T139" s="85"/>
      <c r="U139" s="85"/>
      <c r="V139" s="116">
        <f>T139+U139</f>
        <v>0</v>
      </c>
      <c r="W139" s="86">
        <v>5</v>
      </c>
      <c r="X139" s="56"/>
      <c r="Y139" s="56">
        <v>5</v>
      </c>
      <c r="Z139" s="56"/>
      <c r="AA139" s="56"/>
      <c r="AB139" s="57">
        <f t="shared" si="119"/>
        <v>0</v>
      </c>
      <c r="AC139" s="90">
        <f t="shared" si="67"/>
        <v>5</v>
      </c>
      <c r="AD139" s="58">
        <f t="shared" si="68"/>
        <v>0</v>
      </c>
    </row>
    <row r="140" spans="1:30" ht="15.75" x14ac:dyDescent="0.25">
      <c r="A140" s="95"/>
      <c r="B140" s="113"/>
      <c r="C140" s="135" t="s">
        <v>144</v>
      </c>
      <c r="D140" s="47">
        <v>2.1869999999999998</v>
      </c>
      <c r="E140" s="48">
        <v>2675</v>
      </c>
      <c r="F140" s="48">
        <f t="shared" si="117"/>
        <v>5850.2249999999995</v>
      </c>
      <c r="G140" s="117">
        <v>5569.1</v>
      </c>
      <c r="H140" s="85"/>
      <c r="I140" s="85"/>
      <c r="J140" s="51"/>
      <c r="K140" s="51"/>
      <c r="L140" s="51"/>
      <c r="M140" s="51">
        <f>G140+L140</f>
        <v>5569.1</v>
      </c>
      <c r="N140" s="51">
        <f>M140-F140</f>
        <v>-281.12499999999909</v>
      </c>
      <c r="O140" s="51">
        <v>1198.5</v>
      </c>
      <c r="P140" s="85">
        <v>907.9</v>
      </c>
      <c r="Q140" s="85">
        <v>271.60000000000002</v>
      </c>
      <c r="R140" s="85">
        <v>300</v>
      </c>
      <c r="S140" s="52">
        <f t="shared" si="118"/>
        <v>1498.5</v>
      </c>
      <c r="T140" s="85"/>
      <c r="U140" s="85"/>
      <c r="V140" s="116">
        <f>T140+U140</f>
        <v>0</v>
      </c>
      <c r="W140" s="86">
        <v>5</v>
      </c>
      <c r="X140" s="56"/>
      <c r="Y140" s="56">
        <v>4</v>
      </c>
      <c r="Z140" s="56"/>
      <c r="AA140" s="56"/>
      <c r="AB140" s="57">
        <f t="shared" si="119"/>
        <v>-1</v>
      </c>
      <c r="AC140" s="90">
        <f t="shared" si="67"/>
        <v>4</v>
      </c>
      <c r="AD140" s="58">
        <f t="shared" si="68"/>
        <v>-1</v>
      </c>
    </row>
    <row r="141" spans="1:30" ht="15.75" x14ac:dyDescent="0.25">
      <c r="A141" s="95"/>
      <c r="B141" s="113"/>
      <c r="C141" s="135" t="s">
        <v>145</v>
      </c>
      <c r="D141" s="47">
        <v>1.44</v>
      </c>
      <c r="E141" s="48">
        <v>4874.8</v>
      </c>
      <c r="F141" s="48">
        <f t="shared" si="117"/>
        <v>7019.7120000000004</v>
      </c>
      <c r="G141" s="117">
        <v>6658.1</v>
      </c>
      <c r="H141" s="85"/>
      <c r="I141" s="85"/>
      <c r="J141" s="51"/>
      <c r="K141" s="51"/>
      <c r="L141" s="51"/>
      <c r="M141" s="51">
        <f>G141+L141</f>
        <v>6658.1</v>
      </c>
      <c r="N141" s="51">
        <f>M141-F141</f>
        <v>-361.61200000000008</v>
      </c>
      <c r="O141" s="51">
        <v>1332.9</v>
      </c>
      <c r="P141" s="85">
        <v>1005.4</v>
      </c>
      <c r="Q141" s="85">
        <v>327.60000000000002</v>
      </c>
      <c r="R141" s="85">
        <v>300</v>
      </c>
      <c r="S141" s="52">
        <f t="shared" si="118"/>
        <v>1632.9</v>
      </c>
      <c r="T141" s="85"/>
      <c r="U141" s="85"/>
      <c r="V141" s="116">
        <f>T141+U141</f>
        <v>0</v>
      </c>
      <c r="W141" s="86">
        <v>5</v>
      </c>
      <c r="X141" s="56"/>
      <c r="Y141" s="56">
        <v>5</v>
      </c>
      <c r="Z141" s="56"/>
      <c r="AA141" s="56"/>
      <c r="AB141" s="57">
        <f t="shared" si="119"/>
        <v>0</v>
      </c>
      <c r="AC141" s="90">
        <f t="shared" si="67"/>
        <v>5</v>
      </c>
      <c r="AD141" s="58">
        <f t="shared" si="68"/>
        <v>0</v>
      </c>
    </row>
    <row r="142" spans="1:30" ht="16.5" thickBot="1" x14ac:dyDescent="0.3">
      <c r="A142" s="95"/>
      <c r="B142" s="118"/>
      <c r="C142" s="69" t="s">
        <v>65</v>
      </c>
      <c r="D142" s="119"/>
      <c r="E142" s="62"/>
      <c r="F142" s="62"/>
      <c r="G142" s="120">
        <f t="shared" ref="G142:I142" si="120">ROUND(SUM(G138:G141),3)</f>
        <v>20500.7</v>
      </c>
      <c r="H142" s="120">
        <f t="shared" si="120"/>
        <v>0</v>
      </c>
      <c r="I142" s="120">
        <f t="shared" si="120"/>
        <v>0</v>
      </c>
      <c r="J142" s="120">
        <f t="shared" ref="J142:V142" si="121">ROUND(SUM(J138:J141),3)</f>
        <v>0</v>
      </c>
      <c r="K142" s="120">
        <f t="shared" si="121"/>
        <v>0</v>
      </c>
      <c r="L142" s="120">
        <f t="shared" si="121"/>
        <v>0</v>
      </c>
      <c r="M142" s="120">
        <f>ROUND(SUM(M138:M141),3)</f>
        <v>20500.7</v>
      </c>
      <c r="N142" s="64"/>
      <c r="O142" s="120">
        <f t="shared" ref="O142:S142" si="122">ROUND(SUM(O138:O141),3)</f>
        <v>5501.6</v>
      </c>
      <c r="P142" s="120">
        <f t="shared" si="122"/>
        <v>4198.3999999999996</v>
      </c>
      <c r="Q142" s="120">
        <f t="shared" si="122"/>
        <v>1284.3</v>
      </c>
      <c r="R142" s="120">
        <f t="shared" si="122"/>
        <v>600</v>
      </c>
      <c r="S142" s="120">
        <f t="shared" si="122"/>
        <v>6101.6</v>
      </c>
      <c r="T142" s="120">
        <f t="shared" si="121"/>
        <v>0</v>
      </c>
      <c r="U142" s="120">
        <f t="shared" si="121"/>
        <v>0</v>
      </c>
      <c r="V142" s="121">
        <f t="shared" si="121"/>
        <v>0</v>
      </c>
      <c r="W142" s="122"/>
      <c r="X142" s="120">
        <f t="shared" ref="X142:AA142" si="123">ROUND(SUM(X138:X141),3)</f>
        <v>0</v>
      </c>
      <c r="Y142" s="120">
        <f t="shared" si="123"/>
        <v>15</v>
      </c>
      <c r="Z142" s="120">
        <f t="shared" si="123"/>
        <v>0</v>
      </c>
      <c r="AA142" s="120">
        <f t="shared" si="123"/>
        <v>0</v>
      </c>
      <c r="AB142" s="69"/>
      <c r="AC142" s="123">
        <f t="shared" si="67"/>
        <v>15</v>
      </c>
      <c r="AD142" s="71"/>
    </row>
    <row r="143" spans="1:30" ht="15.75" x14ac:dyDescent="0.25">
      <c r="A143" s="95"/>
      <c r="B143" s="153" t="s">
        <v>53</v>
      </c>
      <c r="C143" s="39" t="s">
        <v>146</v>
      </c>
      <c r="D143" s="156">
        <v>4.5069999999999997</v>
      </c>
      <c r="E143" s="74">
        <v>0</v>
      </c>
      <c r="F143" s="74">
        <v>0</v>
      </c>
      <c r="G143" s="157">
        <v>0</v>
      </c>
      <c r="H143" s="157"/>
      <c r="I143" s="157"/>
      <c r="J143" s="157"/>
      <c r="K143" s="157"/>
      <c r="L143" s="157">
        <v>0</v>
      </c>
      <c r="M143" s="51">
        <f t="shared" ref="M143:M148" si="124">G143+L143</f>
        <v>0</v>
      </c>
      <c r="N143" s="51">
        <f t="shared" ref="N143:N148" si="125">M143-F143</f>
        <v>0</v>
      </c>
      <c r="O143" s="157"/>
      <c r="P143" s="157"/>
      <c r="Q143" s="157"/>
      <c r="R143" s="157"/>
      <c r="S143" s="157"/>
      <c r="T143" s="157"/>
      <c r="U143" s="157"/>
      <c r="V143" s="178"/>
      <c r="W143" s="179">
        <v>0</v>
      </c>
      <c r="X143" s="157"/>
      <c r="Y143" s="157">
        <v>0</v>
      </c>
      <c r="Z143" s="157"/>
      <c r="AA143" s="157">
        <v>0</v>
      </c>
      <c r="AB143" s="57">
        <f>(Y143+AA143)-W143</f>
        <v>0</v>
      </c>
      <c r="AC143" s="157">
        <v>0</v>
      </c>
      <c r="AD143" s="184">
        <v>0</v>
      </c>
    </row>
    <row r="144" spans="1:30" ht="15.75" x14ac:dyDescent="0.25">
      <c r="A144" s="95"/>
      <c r="B144" s="154"/>
      <c r="C144" s="85" t="s">
        <v>147</v>
      </c>
      <c r="D144" s="47">
        <v>1.419</v>
      </c>
      <c r="E144" s="48">
        <v>2929.1</v>
      </c>
      <c r="F144" s="48">
        <f t="shared" si="117"/>
        <v>4156.3928999999998</v>
      </c>
      <c r="G144" s="117">
        <v>2863.9</v>
      </c>
      <c r="H144" s="85"/>
      <c r="I144" s="85"/>
      <c r="J144" s="51"/>
      <c r="K144" s="51"/>
      <c r="L144" s="51"/>
      <c r="M144" s="51">
        <f t="shared" si="124"/>
        <v>2863.9</v>
      </c>
      <c r="N144" s="51">
        <f t="shared" si="125"/>
        <v>-1292.4928999999997</v>
      </c>
      <c r="O144" s="51">
        <v>682.7</v>
      </c>
      <c r="P144" s="85">
        <v>519.20000000000005</v>
      </c>
      <c r="Q144" s="85">
        <v>163.5</v>
      </c>
      <c r="R144" s="85"/>
      <c r="S144" s="52">
        <f t="shared" ref="S144:S148" si="126">O144+R144</f>
        <v>682.7</v>
      </c>
      <c r="T144" s="85"/>
      <c r="U144" s="85"/>
      <c r="V144" s="116">
        <f>T144+U144</f>
        <v>0</v>
      </c>
      <c r="W144" s="55">
        <v>4</v>
      </c>
      <c r="X144" s="56"/>
      <c r="Y144" s="56">
        <v>2</v>
      </c>
      <c r="Z144" s="56"/>
      <c r="AA144" s="56"/>
      <c r="AB144" s="57">
        <f t="shared" ref="AB144:AB148" si="127">(Y144+AA144)-W144</f>
        <v>-2</v>
      </c>
      <c r="AC144" s="90">
        <f t="shared" si="67"/>
        <v>2</v>
      </c>
      <c r="AD144" s="58">
        <f t="shared" si="68"/>
        <v>-2</v>
      </c>
    </row>
    <row r="145" spans="1:30" ht="15.75" x14ac:dyDescent="0.25">
      <c r="A145" s="95"/>
      <c r="B145" s="154"/>
      <c r="C145" s="85" t="s">
        <v>148</v>
      </c>
      <c r="D145" s="47">
        <v>1.103</v>
      </c>
      <c r="E145" s="48">
        <v>3764.5</v>
      </c>
      <c r="F145" s="48">
        <f t="shared" si="117"/>
        <v>4152.2434999999996</v>
      </c>
      <c r="G145" s="117">
        <v>3339.5</v>
      </c>
      <c r="H145" s="85"/>
      <c r="I145" s="85"/>
      <c r="J145" s="51"/>
      <c r="K145" s="51"/>
      <c r="L145" s="51"/>
      <c r="M145" s="51">
        <f t="shared" si="124"/>
        <v>3339.5</v>
      </c>
      <c r="N145" s="51">
        <f t="shared" si="125"/>
        <v>-812.74349999999959</v>
      </c>
      <c r="O145" s="51">
        <v>947.2</v>
      </c>
      <c r="P145" s="85">
        <v>727.5</v>
      </c>
      <c r="Q145" s="85">
        <v>219.7</v>
      </c>
      <c r="R145" s="85"/>
      <c r="S145" s="52">
        <f t="shared" si="126"/>
        <v>947.2</v>
      </c>
      <c r="T145" s="85"/>
      <c r="U145" s="85"/>
      <c r="V145" s="116">
        <f>T145+U145</f>
        <v>0</v>
      </c>
      <c r="W145" s="55">
        <v>4</v>
      </c>
      <c r="X145" s="56"/>
      <c r="Y145" s="56">
        <v>3</v>
      </c>
      <c r="Z145" s="56"/>
      <c r="AA145" s="56"/>
      <c r="AB145" s="57">
        <f t="shared" si="127"/>
        <v>-1</v>
      </c>
      <c r="AC145" s="90">
        <f t="shared" si="67"/>
        <v>3</v>
      </c>
      <c r="AD145" s="58">
        <f t="shared" si="68"/>
        <v>-1</v>
      </c>
    </row>
    <row r="146" spans="1:30" ht="15.75" x14ac:dyDescent="0.25">
      <c r="A146" s="95"/>
      <c r="B146" s="154"/>
      <c r="C146" s="85" t="s">
        <v>149</v>
      </c>
      <c r="D146" s="47">
        <v>1.0289999999999999</v>
      </c>
      <c r="E146" s="48">
        <v>4225.7</v>
      </c>
      <c r="F146" s="48">
        <f t="shared" si="117"/>
        <v>4348.2452999999996</v>
      </c>
      <c r="G146" s="117">
        <v>3576.7</v>
      </c>
      <c r="H146" s="85"/>
      <c r="I146" s="85"/>
      <c r="J146" s="51"/>
      <c r="K146" s="51"/>
      <c r="L146" s="51"/>
      <c r="M146" s="51">
        <f t="shared" si="124"/>
        <v>3576.7</v>
      </c>
      <c r="N146" s="51">
        <f t="shared" si="125"/>
        <v>-771.54529999999977</v>
      </c>
      <c r="O146" s="51">
        <v>1142.9000000000001</v>
      </c>
      <c r="P146" s="85">
        <v>878.5</v>
      </c>
      <c r="Q146" s="85">
        <v>260.39999999999998</v>
      </c>
      <c r="R146" s="85"/>
      <c r="S146" s="52">
        <f t="shared" si="126"/>
        <v>1142.9000000000001</v>
      </c>
      <c r="T146" s="85"/>
      <c r="U146" s="85"/>
      <c r="V146" s="116">
        <f>T146+U146</f>
        <v>0</v>
      </c>
      <c r="W146" s="55">
        <v>4</v>
      </c>
      <c r="X146" s="56"/>
      <c r="Y146" s="56">
        <v>4</v>
      </c>
      <c r="Z146" s="56"/>
      <c r="AA146" s="56"/>
      <c r="AB146" s="57">
        <f t="shared" si="127"/>
        <v>0</v>
      </c>
      <c r="AC146" s="90">
        <f t="shared" si="67"/>
        <v>4</v>
      </c>
      <c r="AD146" s="58">
        <f t="shared" si="68"/>
        <v>0</v>
      </c>
    </row>
    <row r="147" spans="1:30" ht="15.75" x14ac:dyDescent="0.25">
      <c r="A147" s="95">
        <v>36</v>
      </c>
      <c r="B147" s="154"/>
      <c r="C147" s="85" t="s">
        <v>150</v>
      </c>
      <c r="D147" s="47">
        <v>0.623</v>
      </c>
      <c r="E147" s="48">
        <v>4000.2</v>
      </c>
      <c r="F147" s="48">
        <f t="shared" si="117"/>
        <v>2492.1246000000001</v>
      </c>
      <c r="G147" s="117">
        <v>2452.1</v>
      </c>
      <c r="H147" s="85"/>
      <c r="I147" s="85"/>
      <c r="J147" s="51"/>
      <c r="K147" s="51"/>
      <c r="L147" s="51"/>
      <c r="M147" s="51">
        <f t="shared" si="124"/>
        <v>2452.1</v>
      </c>
      <c r="N147" s="51">
        <f t="shared" si="125"/>
        <v>-40.024600000000191</v>
      </c>
      <c r="O147" s="51">
        <v>623.1</v>
      </c>
      <c r="P147" s="85">
        <v>479.8</v>
      </c>
      <c r="Q147" s="85">
        <v>143.30000000000001</v>
      </c>
      <c r="R147" s="85"/>
      <c r="S147" s="52">
        <f t="shared" si="126"/>
        <v>623.1</v>
      </c>
      <c r="T147" s="85"/>
      <c r="U147" s="85"/>
      <c r="V147" s="116">
        <f>T147+U147</f>
        <v>0</v>
      </c>
      <c r="W147" s="55">
        <v>3</v>
      </c>
      <c r="X147" s="56"/>
      <c r="Y147" s="56">
        <v>3</v>
      </c>
      <c r="Z147" s="56"/>
      <c r="AA147" s="56"/>
      <c r="AB147" s="57">
        <f t="shared" si="127"/>
        <v>0</v>
      </c>
      <c r="AC147" s="90">
        <f t="shared" si="67"/>
        <v>3</v>
      </c>
      <c r="AD147" s="58">
        <f t="shared" si="68"/>
        <v>0</v>
      </c>
    </row>
    <row r="148" spans="1:30" ht="15.75" x14ac:dyDescent="0.25">
      <c r="A148" s="95"/>
      <c r="B148" s="154"/>
      <c r="C148" s="85" t="s">
        <v>151</v>
      </c>
      <c r="D148" s="47">
        <v>1.038</v>
      </c>
      <c r="E148" s="48">
        <v>3282.4</v>
      </c>
      <c r="F148" s="48">
        <f t="shared" si="117"/>
        <v>3407.1312000000003</v>
      </c>
      <c r="G148" s="117">
        <v>2936.5</v>
      </c>
      <c r="H148" s="85"/>
      <c r="I148" s="85"/>
      <c r="J148" s="51"/>
      <c r="K148" s="51"/>
      <c r="L148" s="51"/>
      <c r="M148" s="51">
        <f t="shared" si="124"/>
        <v>2936.5</v>
      </c>
      <c r="N148" s="51">
        <f t="shared" si="125"/>
        <v>-470.63120000000026</v>
      </c>
      <c r="O148" s="51">
        <v>1063.5999999999999</v>
      </c>
      <c r="P148" s="85">
        <v>806.8</v>
      </c>
      <c r="Q148" s="85">
        <v>256.89999999999998</v>
      </c>
      <c r="R148" s="85"/>
      <c r="S148" s="52">
        <f t="shared" si="126"/>
        <v>1063.5999999999999</v>
      </c>
      <c r="T148" s="85"/>
      <c r="U148" s="85"/>
      <c r="V148" s="116">
        <f>T148+U148</f>
        <v>0</v>
      </c>
      <c r="W148" s="55">
        <v>4</v>
      </c>
      <c r="X148" s="56"/>
      <c r="Y148" s="56">
        <v>3</v>
      </c>
      <c r="Z148" s="56"/>
      <c r="AA148" s="56"/>
      <c r="AB148" s="57">
        <f t="shared" si="127"/>
        <v>-1</v>
      </c>
      <c r="AC148" s="90">
        <f t="shared" si="67"/>
        <v>3</v>
      </c>
      <c r="AD148" s="58">
        <f t="shared" si="68"/>
        <v>-1</v>
      </c>
    </row>
    <row r="149" spans="1:30" ht="16.5" thickBot="1" x14ac:dyDescent="0.3">
      <c r="A149" s="95"/>
      <c r="B149" s="155"/>
      <c r="C149" s="69" t="s">
        <v>65</v>
      </c>
      <c r="D149" s="119"/>
      <c r="E149" s="62"/>
      <c r="F149" s="62"/>
      <c r="G149" s="120">
        <f>ROUND(SUM(G143:K148),3)</f>
        <v>15168.7</v>
      </c>
      <c r="H149" s="120">
        <f t="shared" ref="H149:K149" si="128">ROUND(SUM(H143:L148),3)</f>
        <v>0</v>
      </c>
      <c r="I149" s="120">
        <f t="shared" si="128"/>
        <v>15168.7</v>
      </c>
      <c r="J149" s="120">
        <f t="shared" si="128"/>
        <v>11781.263000000001</v>
      </c>
      <c r="K149" s="120">
        <f t="shared" si="128"/>
        <v>16240.763000000001</v>
      </c>
      <c r="L149" s="120">
        <f>ROUND(SUM(L143:L148),3)</f>
        <v>0</v>
      </c>
      <c r="M149" s="120">
        <f>ROUND(SUM(M143:M148),3)</f>
        <v>15168.7</v>
      </c>
      <c r="N149" s="64"/>
      <c r="O149" s="120">
        <f t="shared" ref="O149:S149" si="129">ROUND(SUM(O144:O148),3)</f>
        <v>4459.5</v>
      </c>
      <c r="P149" s="120">
        <f t="shared" si="129"/>
        <v>3411.8</v>
      </c>
      <c r="Q149" s="120">
        <f t="shared" si="129"/>
        <v>1043.8</v>
      </c>
      <c r="R149" s="120">
        <f t="shared" si="129"/>
        <v>0</v>
      </c>
      <c r="S149" s="120">
        <f t="shared" si="129"/>
        <v>4459.5</v>
      </c>
      <c r="T149" s="120">
        <f>ROUND(SUM(T144:T148),3)</f>
        <v>0</v>
      </c>
      <c r="U149" s="120">
        <f>ROUND(SUM(U144:U148),3)</f>
        <v>0</v>
      </c>
      <c r="V149" s="121">
        <f>ROUND(SUM(V144:V148),3)</f>
        <v>0</v>
      </c>
      <c r="W149" s="122"/>
      <c r="X149" s="120">
        <f t="shared" ref="X149" si="130">ROUND(SUM(X144:X148),3)</f>
        <v>0</v>
      </c>
      <c r="Y149" s="120">
        <f>ROUND(SUM(Y143:Y148),3)</f>
        <v>15</v>
      </c>
      <c r="Z149" s="120">
        <f t="shared" ref="Z149:AA149" si="131">ROUND(SUM(Z143:Z148),3)</f>
        <v>0</v>
      </c>
      <c r="AA149" s="120">
        <f t="shared" si="131"/>
        <v>0</v>
      </c>
      <c r="AB149" s="152"/>
      <c r="AC149" s="123">
        <f t="shared" si="67"/>
        <v>15</v>
      </c>
      <c r="AD149" s="71"/>
    </row>
    <row r="150" spans="1:30" ht="15.75" x14ac:dyDescent="0.25">
      <c r="A150" s="95"/>
      <c r="B150" s="185" t="s">
        <v>54</v>
      </c>
      <c r="C150" s="39" t="s">
        <v>152</v>
      </c>
      <c r="D150" s="73">
        <v>2.8519999999999999</v>
      </c>
      <c r="E150" s="74">
        <v>2132.1</v>
      </c>
      <c r="F150" s="74">
        <f t="shared" si="117"/>
        <v>6080.7491999999993</v>
      </c>
      <c r="G150" s="109">
        <v>5982.2</v>
      </c>
      <c r="H150" s="110"/>
      <c r="I150" s="110"/>
      <c r="J150" s="76"/>
      <c r="K150" s="76"/>
      <c r="L150" s="76">
        <v>98.3</v>
      </c>
      <c r="M150" s="76">
        <f t="shared" ref="M150:M155" si="132">G150+L150</f>
        <v>6080.5</v>
      </c>
      <c r="N150" s="76">
        <f t="shared" ref="N150:N155" si="133">M150-F150</f>
        <v>-0.24919999999929132</v>
      </c>
      <c r="O150" s="76">
        <v>2131.1</v>
      </c>
      <c r="P150" s="110">
        <v>1636.8</v>
      </c>
      <c r="Q150" s="110">
        <v>494.3</v>
      </c>
      <c r="R150" s="110">
        <v>10</v>
      </c>
      <c r="S150" s="77">
        <f t="shared" ref="S150:S155" si="134">O150+R150</f>
        <v>2141.1</v>
      </c>
      <c r="T150" s="110"/>
      <c r="U150" s="110"/>
      <c r="V150" s="111">
        <f t="shared" ref="V150:V155" si="135">T150+U150</f>
        <v>0</v>
      </c>
      <c r="W150" s="80">
        <v>5</v>
      </c>
      <c r="X150" s="39"/>
      <c r="Y150" s="39">
        <v>4.9000000000000004</v>
      </c>
      <c r="Z150" s="39"/>
      <c r="AA150" s="39">
        <v>0.1</v>
      </c>
      <c r="AB150" s="81">
        <f t="shared" ref="AB150:AB155" si="136">(Y150+AA150)-W150</f>
        <v>0</v>
      </c>
      <c r="AC150" s="112">
        <f t="shared" si="67"/>
        <v>5</v>
      </c>
      <c r="AD150" s="82">
        <f t="shared" si="68"/>
        <v>0</v>
      </c>
    </row>
    <row r="151" spans="1:30" ht="15.75" x14ac:dyDescent="0.25">
      <c r="A151" s="95"/>
      <c r="B151" s="186"/>
      <c r="C151" s="187" t="s">
        <v>153</v>
      </c>
      <c r="D151" s="47">
        <v>1.6419999999999999</v>
      </c>
      <c r="E151" s="48">
        <v>3753.3</v>
      </c>
      <c r="F151" s="48">
        <f t="shared" si="117"/>
        <v>6162.9186</v>
      </c>
      <c r="G151" s="117">
        <v>5754.1</v>
      </c>
      <c r="H151" s="85"/>
      <c r="I151" s="85"/>
      <c r="J151" s="51"/>
      <c r="K151" s="51"/>
      <c r="L151" s="51"/>
      <c r="M151" s="51">
        <f t="shared" si="132"/>
        <v>5754.1</v>
      </c>
      <c r="N151" s="51">
        <f t="shared" si="133"/>
        <v>-408.81859999999961</v>
      </c>
      <c r="O151" s="51">
        <v>1990.3</v>
      </c>
      <c r="P151" s="85">
        <v>1536.6</v>
      </c>
      <c r="Q151" s="85">
        <v>453.7</v>
      </c>
      <c r="R151" s="85"/>
      <c r="S151" s="52">
        <f t="shared" si="134"/>
        <v>1990.3</v>
      </c>
      <c r="T151" s="85"/>
      <c r="U151" s="85"/>
      <c r="V151" s="116">
        <f t="shared" si="135"/>
        <v>0</v>
      </c>
      <c r="W151" s="55">
        <v>4</v>
      </c>
      <c r="X151" s="56"/>
      <c r="Y151" s="56">
        <v>4</v>
      </c>
      <c r="Z151" s="56"/>
      <c r="AA151" s="56"/>
      <c r="AB151" s="57">
        <f t="shared" si="136"/>
        <v>0</v>
      </c>
      <c r="AC151" s="90">
        <f t="shared" si="67"/>
        <v>4</v>
      </c>
      <c r="AD151" s="58">
        <f t="shared" si="68"/>
        <v>0</v>
      </c>
    </row>
    <row r="152" spans="1:30" ht="15.75" x14ac:dyDescent="0.25">
      <c r="A152" s="95"/>
      <c r="B152" s="186"/>
      <c r="C152" s="85" t="s">
        <v>154</v>
      </c>
      <c r="D152" s="47">
        <v>0.71599999999999997</v>
      </c>
      <c r="E152" s="48">
        <v>5835.3</v>
      </c>
      <c r="F152" s="48">
        <f t="shared" si="117"/>
        <v>4178.0748000000003</v>
      </c>
      <c r="G152" s="117">
        <v>3993.9</v>
      </c>
      <c r="H152" s="85"/>
      <c r="I152" s="85"/>
      <c r="J152" s="51"/>
      <c r="K152" s="51"/>
      <c r="L152" s="51"/>
      <c r="M152" s="51">
        <f t="shared" si="132"/>
        <v>3993.9</v>
      </c>
      <c r="N152" s="51">
        <f t="shared" si="133"/>
        <v>-184.17480000000023</v>
      </c>
      <c r="O152" s="51">
        <v>964.9</v>
      </c>
      <c r="P152" s="85">
        <v>743.1</v>
      </c>
      <c r="Q152" s="85">
        <v>221.8</v>
      </c>
      <c r="R152" s="85"/>
      <c r="S152" s="52">
        <f t="shared" si="134"/>
        <v>964.9</v>
      </c>
      <c r="T152" s="85"/>
      <c r="U152" s="85"/>
      <c r="V152" s="116">
        <f t="shared" si="135"/>
        <v>0</v>
      </c>
      <c r="W152" s="55">
        <v>4</v>
      </c>
      <c r="X152" s="56"/>
      <c r="Y152" s="56">
        <v>3</v>
      </c>
      <c r="Z152" s="56"/>
      <c r="AA152" s="56"/>
      <c r="AB152" s="57">
        <f t="shared" si="136"/>
        <v>-1</v>
      </c>
      <c r="AC152" s="90">
        <f t="shared" si="67"/>
        <v>3</v>
      </c>
      <c r="AD152" s="58">
        <f t="shared" si="68"/>
        <v>-1</v>
      </c>
    </row>
    <row r="153" spans="1:30" ht="15.75" x14ac:dyDescent="0.25">
      <c r="A153" s="95"/>
      <c r="B153" s="186"/>
      <c r="C153" s="188" t="s">
        <v>155</v>
      </c>
      <c r="D153" s="47">
        <v>1.641</v>
      </c>
      <c r="E153" s="48">
        <v>3506.8</v>
      </c>
      <c r="F153" s="48">
        <f t="shared" si="117"/>
        <v>5754.6588000000002</v>
      </c>
      <c r="G153" s="117">
        <v>5101.7</v>
      </c>
      <c r="H153" s="85"/>
      <c r="I153" s="85"/>
      <c r="J153" s="51"/>
      <c r="K153" s="51"/>
      <c r="L153" s="51"/>
      <c r="M153" s="51">
        <f t="shared" si="132"/>
        <v>5101.7</v>
      </c>
      <c r="N153" s="51">
        <f t="shared" si="133"/>
        <v>-652.95880000000034</v>
      </c>
      <c r="O153" s="51">
        <v>1662</v>
      </c>
      <c r="P153" s="85">
        <v>1298.5</v>
      </c>
      <c r="Q153" s="85">
        <v>363.5</v>
      </c>
      <c r="R153" s="85"/>
      <c r="S153" s="52">
        <f t="shared" si="134"/>
        <v>1662</v>
      </c>
      <c r="T153" s="85"/>
      <c r="U153" s="85"/>
      <c r="V153" s="116">
        <f t="shared" si="135"/>
        <v>0</v>
      </c>
      <c r="W153" s="86">
        <v>5</v>
      </c>
      <c r="X153" s="56"/>
      <c r="Y153" s="56">
        <v>5</v>
      </c>
      <c r="Z153" s="56"/>
      <c r="AA153" s="56"/>
      <c r="AB153" s="57">
        <f t="shared" si="136"/>
        <v>0</v>
      </c>
      <c r="AC153" s="90">
        <f t="shared" si="67"/>
        <v>5</v>
      </c>
      <c r="AD153" s="58">
        <f t="shared" si="68"/>
        <v>0</v>
      </c>
    </row>
    <row r="154" spans="1:30" ht="15.75" x14ac:dyDescent="0.25">
      <c r="A154" s="95"/>
      <c r="B154" s="186"/>
      <c r="C154" s="187" t="s">
        <v>156</v>
      </c>
      <c r="D154" s="47">
        <v>1.2150000000000001</v>
      </c>
      <c r="E154" s="48">
        <v>3615.4</v>
      </c>
      <c r="F154" s="48">
        <f t="shared" si="117"/>
        <v>4392.7110000000002</v>
      </c>
      <c r="G154" s="117">
        <v>3700.1</v>
      </c>
      <c r="H154" s="85"/>
      <c r="I154" s="85"/>
      <c r="J154" s="51"/>
      <c r="K154" s="51"/>
      <c r="L154" s="51"/>
      <c r="M154" s="51">
        <f t="shared" si="132"/>
        <v>3700.1</v>
      </c>
      <c r="N154" s="51">
        <f t="shared" si="133"/>
        <v>-692.61100000000033</v>
      </c>
      <c r="O154" s="51">
        <v>1169</v>
      </c>
      <c r="P154" s="85">
        <v>852.3</v>
      </c>
      <c r="Q154" s="85">
        <v>316.7</v>
      </c>
      <c r="R154" s="85"/>
      <c r="S154" s="52">
        <f t="shared" si="134"/>
        <v>1169</v>
      </c>
      <c r="T154" s="85"/>
      <c r="U154" s="85"/>
      <c r="V154" s="116">
        <f t="shared" si="135"/>
        <v>0</v>
      </c>
      <c r="W154" s="55">
        <v>4</v>
      </c>
      <c r="X154" s="56"/>
      <c r="Y154" s="56">
        <v>3</v>
      </c>
      <c r="Z154" s="56"/>
      <c r="AA154" s="56"/>
      <c r="AB154" s="57">
        <f t="shared" si="136"/>
        <v>-1</v>
      </c>
      <c r="AC154" s="90">
        <f t="shared" ref="AC154:AC177" si="137">Y154+AA154</f>
        <v>3</v>
      </c>
      <c r="AD154" s="58">
        <f t="shared" ref="AD154:AD176" si="138">AC154-W154</f>
        <v>-1</v>
      </c>
    </row>
    <row r="155" spans="1:30" ht="15.75" x14ac:dyDescent="0.25">
      <c r="A155" s="95"/>
      <c r="B155" s="186"/>
      <c r="C155" s="135" t="s">
        <v>157</v>
      </c>
      <c r="D155" s="47">
        <v>1.9219999999999999</v>
      </c>
      <c r="E155" s="48">
        <v>3104.8</v>
      </c>
      <c r="F155" s="48">
        <f t="shared" si="117"/>
        <v>5967.4256000000005</v>
      </c>
      <c r="G155" s="117">
        <v>5568.8</v>
      </c>
      <c r="H155" s="85"/>
      <c r="I155" s="85"/>
      <c r="J155" s="51"/>
      <c r="K155" s="51"/>
      <c r="L155" s="51"/>
      <c r="M155" s="51">
        <f t="shared" si="132"/>
        <v>5568.8</v>
      </c>
      <c r="N155" s="51">
        <f t="shared" si="133"/>
        <v>-398.6256000000003</v>
      </c>
      <c r="O155" s="51">
        <v>2173.9</v>
      </c>
      <c r="P155" s="85">
        <v>1672.4</v>
      </c>
      <c r="Q155" s="85">
        <v>501.5</v>
      </c>
      <c r="R155" s="85"/>
      <c r="S155" s="52">
        <f t="shared" si="134"/>
        <v>2173.9</v>
      </c>
      <c r="T155" s="85"/>
      <c r="U155" s="85"/>
      <c r="V155" s="116">
        <f t="shared" si="135"/>
        <v>0</v>
      </c>
      <c r="W155" s="86">
        <v>5</v>
      </c>
      <c r="X155" s="56"/>
      <c r="Y155" s="56">
        <v>5</v>
      </c>
      <c r="Z155" s="56"/>
      <c r="AA155" s="56"/>
      <c r="AB155" s="57">
        <f t="shared" si="136"/>
        <v>0</v>
      </c>
      <c r="AC155" s="90">
        <f t="shared" si="137"/>
        <v>5</v>
      </c>
      <c r="AD155" s="58">
        <f t="shared" si="138"/>
        <v>0</v>
      </c>
    </row>
    <row r="156" spans="1:30" ht="14.25" customHeight="1" thickBot="1" x14ac:dyDescent="0.3">
      <c r="A156" s="95"/>
      <c r="B156" s="189"/>
      <c r="C156" s="69" t="s">
        <v>65</v>
      </c>
      <c r="D156" s="119"/>
      <c r="E156" s="62"/>
      <c r="F156" s="62"/>
      <c r="G156" s="120">
        <f t="shared" ref="G156:V156" si="139">ROUND(SUM(G150:G155),3)</f>
        <v>30100.799999999999</v>
      </c>
      <c r="H156" s="120">
        <f t="shared" si="139"/>
        <v>0</v>
      </c>
      <c r="I156" s="120">
        <f t="shared" si="139"/>
        <v>0</v>
      </c>
      <c r="J156" s="120">
        <f t="shared" si="139"/>
        <v>0</v>
      </c>
      <c r="K156" s="120">
        <f t="shared" si="139"/>
        <v>0</v>
      </c>
      <c r="L156" s="120">
        <f t="shared" si="139"/>
        <v>98.3</v>
      </c>
      <c r="M156" s="120">
        <f t="shared" si="139"/>
        <v>30199.1</v>
      </c>
      <c r="N156" s="64"/>
      <c r="O156" s="120">
        <f t="shared" ref="O156:S156" si="140">ROUND(SUM(O150:O155),3)</f>
        <v>10091.200000000001</v>
      </c>
      <c r="P156" s="120">
        <f t="shared" si="140"/>
        <v>7739.7</v>
      </c>
      <c r="Q156" s="120">
        <f t="shared" si="140"/>
        <v>2351.5</v>
      </c>
      <c r="R156" s="120">
        <f t="shared" si="140"/>
        <v>10</v>
      </c>
      <c r="S156" s="120">
        <f t="shared" si="140"/>
        <v>10101.200000000001</v>
      </c>
      <c r="T156" s="120">
        <f t="shared" si="139"/>
        <v>0</v>
      </c>
      <c r="U156" s="120">
        <f t="shared" si="139"/>
        <v>0</v>
      </c>
      <c r="V156" s="121">
        <f t="shared" si="139"/>
        <v>0</v>
      </c>
      <c r="W156" s="122"/>
      <c r="X156" s="120">
        <f t="shared" ref="X156:AA156" si="141">ROUND(SUM(X150:X155),3)</f>
        <v>0</v>
      </c>
      <c r="Y156" s="120">
        <f t="shared" si="141"/>
        <v>24.9</v>
      </c>
      <c r="Z156" s="120">
        <f t="shared" si="141"/>
        <v>0</v>
      </c>
      <c r="AA156" s="120">
        <f t="shared" si="141"/>
        <v>0.1</v>
      </c>
      <c r="AB156" s="69"/>
      <c r="AC156" s="123">
        <f t="shared" si="137"/>
        <v>25</v>
      </c>
      <c r="AD156" s="71"/>
    </row>
    <row r="157" spans="1:30" ht="15.75" x14ac:dyDescent="0.25">
      <c r="A157" s="95"/>
      <c r="B157" s="108" t="s">
        <v>55</v>
      </c>
      <c r="C157" s="39" t="s">
        <v>158</v>
      </c>
      <c r="D157" s="73">
        <v>3.2170000000000001</v>
      </c>
      <c r="E157" s="74">
        <v>2284.6</v>
      </c>
      <c r="F157" s="74">
        <f t="shared" si="117"/>
        <v>7349.5581999999995</v>
      </c>
      <c r="G157" s="109">
        <v>6678.3</v>
      </c>
      <c r="H157" s="110"/>
      <c r="I157" s="110"/>
      <c r="J157" s="76"/>
      <c r="K157" s="76"/>
      <c r="L157" s="76">
        <v>103.6</v>
      </c>
      <c r="M157" s="76">
        <f t="shared" ref="M157:M164" si="142">G157+L157</f>
        <v>6781.9000000000005</v>
      </c>
      <c r="N157" s="76">
        <f t="shared" ref="N157:N164" si="143">M157-F157</f>
        <v>-567.65819999999894</v>
      </c>
      <c r="O157" s="76">
        <v>2233.1999999999998</v>
      </c>
      <c r="P157" s="110">
        <v>1715.2</v>
      </c>
      <c r="Q157" s="110">
        <v>518</v>
      </c>
      <c r="R157" s="110"/>
      <c r="S157" s="77">
        <f t="shared" ref="S157:S164" si="144">O157+R157</f>
        <v>2233.1999999999998</v>
      </c>
      <c r="T157" s="110"/>
      <c r="U157" s="110"/>
      <c r="V157" s="111">
        <f t="shared" ref="V157:V164" si="145">T157+U157</f>
        <v>0</v>
      </c>
      <c r="W157" s="80">
        <v>6</v>
      </c>
      <c r="X157" s="39"/>
      <c r="Y157" s="39">
        <v>5</v>
      </c>
      <c r="Z157" s="39"/>
      <c r="AA157" s="39"/>
      <c r="AB157" s="81">
        <f t="shared" ref="AB157:AB164" si="146">(Y157+AA157)-W157</f>
        <v>-1</v>
      </c>
      <c r="AC157" s="112">
        <f t="shared" si="137"/>
        <v>5</v>
      </c>
      <c r="AD157" s="82">
        <f t="shared" si="138"/>
        <v>-1</v>
      </c>
    </row>
    <row r="158" spans="1:30" ht="15.75" x14ac:dyDescent="0.25">
      <c r="A158" s="95"/>
      <c r="B158" s="113"/>
      <c r="C158" s="175" t="s">
        <v>159</v>
      </c>
      <c r="D158" s="47">
        <v>1.615</v>
      </c>
      <c r="E158" s="48">
        <v>2911.1</v>
      </c>
      <c r="F158" s="48">
        <f t="shared" si="117"/>
        <v>4701.4264999999996</v>
      </c>
      <c r="G158" s="117">
        <v>4124.1000000000004</v>
      </c>
      <c r="H158" s="85"/>
      <c r="I158" s="85"/>
      <c r="J158" s="51"/>
      <c r="K158" s="51"/>
      <c r="L158" s="51">
        <v>51.7</v>
      </c>
      <c r="M158" s="51">
        <f t="shared" si="142"/>
        <v>4175.8</v>
      </c>
      <c r="N158" s="51">
        <f t="shared" si="143"/>
        <v>-525.6264999999994</v>
      </c>
      <c r="O158" s="51">
        <v>1958.8</v>
      </c>
      <c r="P158" s="85">
        <v>1504.4</v>
      </c>
      <c r="Q158" s="85">
        <v>454.3</v>
      </c>
      <c r="R158" s="85"/>
      <c r="S158" s="52">
        <f t="shared" si="144"/>
        <v>1958.8</v>
      </c>
      <c r="T158" s="85"/>
      <c r="U158" s="85"/>
      <c r="V158" s="116">
        <f t="shared" si="145"/>
        <v>0</v>
      </c>
      <c r="W158" s="55">
        <v>5</v>
      </c>
      <c r="X158" s="56"/>
      <c r="Y158" s="56">
        <v>5</v>
      </c>
      <c r="Z158" s="56"/>
      <c r="AA158" s="56"/>
      <c r="AB158" s="57">
        <f t="shared" si="146"/>
        <v>0</v>
      </c>
      <c r="AC158" s="90">
        <f t="shared" si="137"/>
        <v>5</v>
      </c>
      <c r="AD158" s="58">
        <f t="shared" si="138"/>
        <v>0</v>
      </c>
    </row>
    <row r="159" spans="1:30" ht="15.75" x14ac:dyDescent="0.25">
      <c r="A159" s="95"/>
      <c r="B159" s="113"/>
      <c r="C159" s="85" t="s">
        <v>160</v>
      </c>
      <c r="D159" s="47">
        <v>2.0790000000000002</v>
      </c>
      <c r="E159" s="48">
        <v>2952.6</v>
      </c>
      <c r="F159" s="48">
        <f t="shared" si="117"/>
        <v>6138.4554000000007</v>
      </c>
      <c r="G159" s="117">
        <v>5509.4</v>
      </c>
      <c r="H159" s="85"/>
      <c r="I159" s="85"/>
      <c r="J159" s="51"/>
      <c r="K159" s="51"/>
      <c r="L159" s="51">
        <v>67</v>
      </c>
      <c r="M159" s="51">
        <f t="shared" si="142"/>
        <v>5576.4</v>
      </c>
      <c r="N159" s="51">
        <f t="shared" si="143"/>
        <v>-562.0554000000011</v>
      </c>
      <c r="O159" s="51">
        <v>2233.1</v>
      </c>
      <c r="P159" s="85">
        <v>1718.8</v>
      </c>
      <c r="Q159" s="85">
        <v>519.1</v>
      </c>
      <c r="R159" s="85"/>
      <c r="S159" s="52">
        <f t="shared" si="144"/>
        <v>2233.1</v>
      </c>
      <c r="T159" s="85"/>
      <c r="U159" s="85"/>
      <c r="V159" s="116">
        <f t="shared" si="145"/>
        <v>0</v>
      </c>
      <c r="W159" s="55">
        <v>5</v>
      </c>
      <c r="X159" s="56"/>
      <c r="Y159" s="56">
        <v>5</v>
      </c>
      <c r="Z159" s="56"/>
      <c r="AA159" s="56"/>
      <c r="AB159" s="57">
        <f t="shared" si="146"/>
        <v>0</v>
      </c>
      <c r="AC159" s="90">
        <f t="shared" si="137"/>
        <v>5</v>
      </c>
      <c r="AD159" s="58">
        <f t="shared" si="138"/>
        <v>0</v>
      </c>
    </row>
    <row r="160" spans="1:30" ht="15.75" x14ac:dyDescent="0.25">
      <c r="A160" s="95"/>
      <c r="B160" s="113"/>
      <c r="C160" s="85" t="s">
        <v>161</v>
      </c>
      <c r="D160" s="47">
        <v>1.7030000000000001</v>
      </c>
      <c r="E160" s="48">
        <v>3098.4</v>
      </c>
      <c r="F160" s="48">
        <f t="shared" si="117"/>
        <v>5276.5752000000002</v>
      </c>
      <c r="G160" s="117">
        <v>5100.6000000000004</v>
      </c>
      <c r="H160" s="85"/>
      <c r="I160" s="85"/>
      <c r="J160" s="51"/>
      <c r="K160" s="51"/>
      <c r="L160" s="51">
        <v>55</v>
      </c>
      <c r="M160" s="51">
        <f t="shared" si="142"/>
        <v>5155.6000000000004</v>
      </c>
      <c r="N160" s="51">
        <f t="shared" si="143"/>
        <v>-120.97519999999986</v>
      </c>
      <c r="O160" s="51">
        <v>1214.4000000000001</v>
      </c>
      <c r="P160" s="85">
        <v>932.7</v>
      </c>
      <c r="Q160" s="85">
        <v>281.7</v>
      </c>
      <c r="R160" s="85"/>
      <c r="S160" s="52">
        <f t="shared" si="144"/>
        <v>1214.4000000000001</v>
      </c>
      <c r="T160" s="85"/>
      <c r="U160" s="85"/>
      <c r="V160" s="116">
        <f t="shared" si="145"/>
        <v>0</v>
      </c>
      <c r="W160" s="55">
        <v>5</v>
      </c>
      <c r="X160" s="56"/>
      <c r="Y160" s="56">
        <v>3</v>
      </c>
      <c r="Z160" s="56"/>
      <c r="AA160" s="56"/>
      <c r="AB160" s="57">
        <f t="shared" si="146"/>
        <v>-2</v>
      </c>
      <c r="AC160" s="90">
        <f t="shared" si="137"/>
        <v>3</v>
      </c>
      <c r="AD160" s="58">
        <f t="shared" si="138"/>
        <v>-2</v>
      </c>
    </row>
    <row r="161" spans="1:30" ht="15.75" x14ac:dyDescent="0.25">
      <c r="A161" s="95"/>
      <c r="B161" s="113"/>
      <c r="C161" s="85" t="s">
        <v>162</v>
      </c>
      <c r="D161" s="47">
        <v>3.1920000000000002</v>
      </c>
      <c r="E161" s="48">
        <v>2039.7</v>
      </c>
      <c r="F161" s="48">
        <f t="shared" si="117"/>
        <v>6510.7224000000006</v>
      </c>
      <c r="G161" s="117">
        <v>6217.9</v>
      </c>
      <c r="H161" s="85"/>
      <c r="I161" s="85"/>
      <c r="J161" s="51"/>
      <c r="K161" s="51"/>
      <c r="L161" s="51">
        <v>102.4</v>
      </c>
      <c r="M161" s="51">
        <f t="shared" si="142"/>
        <v>6320.2999999999993</v>
      </c>
      <c r="N161" s="51">
        <f t="shared" si="143"/>
        <v>-190.42240000000129</v>
      </c>
      <c r="O161" s="51">
        <v>1832.7</v>
      </c>
      <c r="P161" s="85">
        <v>1407.6</v>
      </c>
      <c r="Q161" s="85">
        <v>425.1</v>
      </c>
      <c r="R161" s="85"/>
      <c r="S161" s="52">
        <f t="shared" si="144"/>
        <v>1832.7</v>
      </c>
      <c r="T161" s="85"/>
      <c r="U161" s="85"/>
      <c r="V161" s="116">
        <f t="shared" si="145"/>
        <v>0</v>
      </c>
      <c r="W161" s="55">
        <v>5</v>
      </c>
      <c r="X161" s="56"/>
      <c r="Y161" s="56">
        <v>4</v>
      </c>
      <c r="Z161" s="56"/>
      <c r="AA161" s="56"/>
      <c r="AB161" s="57">
        <f t="shared" si="146"/>
        <v>-1</v>
      </c>
      <c r="AC161" s="90">
        <f t="shared" si="137"/>
        <v>4</v>
      </c>
      <c r="AD161" s="58">
        <f t="shared" si="138"/>
        <v>-1</v>
      </c>
    </row>
    <row r="162" spans="1:30" ht="15.75" x14ac:dyDescent="0.25">
      <c r="A162" s="95"/>
      <c r="B162" s="113"/>
      <c r="C162" s="85" t="s">
        <v>163</v>
      </c>
      <c r="D162" s="47">
        <v>3.0470000000000002</v>
      </c>
      <c r="E162" s="48">
        <v>2506.1999999999998</v>
      </c>
      <c r="F162" s="48">
        <f t="shared" si="117"/>
        <v>7636.3913999999995</v>
      </c>
      <c r="G162" s="117">
        <v>7399.4</v>
      </c>
      <c r="H162" s="85"/>
      <c r="I162" s="85"/>
      <c r="J162" s="51"/>
      <c r="K162" s="51"/>
      <c r="L162" s="51">
        <v>98.4</v>
      </c>
      <c r="M162" s="51">
        <f t="shared" si="142"/>
        <v>7497.7999999999993</v>
      </c>
      <c r="N162" s="51">
        <f t="shared" si="143"/>
        <v>-138.59140000000025</v>
      </c>
      <c r="O162" s="51">
        <v>2636.4</v>
      </c>
      <c r="P162" s="85">
        <v>2024.8</v>
      </c>
      <c r="Q162" s="85">
        <v>611.5</v>
      </c>
      <c r="R162" s="85"/>
      <c r="S162" s="52">
        <f t="shared" si="144"/>
        <v>2636.4</v>
      </c>
      <c r="T162" s="85"/>
      <c r="U162" s="85"/>
      <c r="V162" s="116">
        <f t="shared" si="145"/>
        <v>0</v>
      </c>
      <c r="W162" s="55">
        <v>5</v>
      </c>
      <c r="X162" s="56"/>
      <c r="Y162" s="56">
        <v>5</v>
      </c>
      <c r="Z162" s="56"/>
      <c r="AA162" s="56"/>
      <c r="AB162" s="57">
        <f t="shared" si="146"/>
        <v>0</v>
      </c>
      <c r="AC162" s="90">
        <f t="shared" si="137"/>
        <v>5</v>
      </c>
      <c r="AD162" s="58">
        <f t="shared" si="138"/>
        <v>0</v>
      </c>
    </row>
    <row r="163" spans="1:30" ht="15.75" x14ac:dyDescent="0.25">
      <c r="A163" s="95"/>
      <c r="B163" s="113"/>
      <c r="C163" s="85" t="s">
        <v>164</v>
      </c>
      <c r="D163" s="47">
        <v>1.1060000000000001</v>
      </c>
      <c r="E163" s="48">
        <v>3395.6</v>
      </c>
      <c r="F163" s="48">
        <f t="shared" si="117"/>
        <v>3755.5336000000002</v>
      </c>
      <c r="G163" s="117">
        <v>3719.9</v>
      </c>
      <c r="H163" s="85"/>
      <c r="I163" s="85"/>
      <c r="J163" s="51"/>
      <c r="K163" s="51"/>
      <c r="L163" s="51">
        <v>35.6</v>
      </c>
      <c r="M163" s="51">
        <f t="shared" si="142"/>
        <v>3755.5</v>
      </c>
      <c r="N163" s="51">
        <f t="shared" si="143"/>
        <v>-3.360000000020591E-2</v>
      </c>
      <c r="O163" s="51">
        <v>1508.7</v>
      </c>
      <c r="P163" s="85">
        <v>1161.4000000000001</v>
      </c>
      <c r="Q163" s="85">
        <v>347.3</v>
      </c>
      <c r="R163" s="85"/>
      <c r="S163" s="52">
        <f t="shared" si="144"/>
        <v>1508.7</v>
      </c>
      <c r="T163" s="85"/>
      <c r="U163" s="85"/>
      <c r="V163" s="116">
        <f t="shared" si="145"/>
        <v>0</v>
      </c>
      <c r="W163" s="55">
        <v>4</v>
      </c>
      <c r="X163" s="56"/>
      <c r="Y163" s="56">
        <v>4</v>
      </c>
      <c r="Z163" s="56"/>
      <c r="AA163" s="56"/>
      <c r="AB163" s="57">
        <f t="shared" si="146"/>
        <v>0</v>
      </c>
      <c r="AC163" s="90">
        <f t="shared" si="137"/>
        <v>4</v>
      </c>
      <c r="AD163" s="58">
        <f t="shared" si="138"/>
        <v>0</v>
      </c>
    </row>
    <row r="164" spans="1:30" ht="15.75" x14ac:dyDescent="0.25">
      <c r="A164" s="95"/>
      <c r="B164" s="113"/>
      <c r="C164" s="85" t="s">
        <v>165</v>
      </c>
      <c r="D164" s="47">
        <v>3.2250000000000001</v>
      </c>
      <c r="E164" s="48">
        <v>2328.1999999999998</v>
      </c>
      <c r="F164" s="48">
        <f t="shared" si="117"/>
        <v>7508.4449999999997</v>
      </c>
      <c r="G164" s="117">
        <v>7038.9</v>
      </c>
      <c r="H164" s="85"/>
      <c r="I164" s="85"/>
      <c r="J164" s="51"/>
      <c r="K164" s="51"/>
      <c r="L164" s="51">
        <v>104</v>
      </c>
      <c r="M164" s="51">
        <f t="shared" si="142"/>
        <v>7142.9</v>
      </c>
      <c r="N164" s="51">
        <f t="shared" si="143"/>
        <v>-365.54500000000007</v>
      </c>
      <c r="O164" s="51">
        <v>2977.3</v>
      </c>
      <c r="P164" s="85">
        <v>2286.6999999999998</v>
      </c>
      <c r="Q164" s="85">
        <v>690.6</v>
      </c>
      <c r="R164" s="85"/>
      <c r="S164" s="52">
        <f t="shared" si="144"/>
        <v>2977.3</v>
      </c>
      <c r="T164" s="85"/>
      <c r="U164" s="85"/>
      <c r="V164" s="116">
        <f t="shared" si="145"/>
        <v>0</v>
      </c>
      <c r="W164" s="55">
        <v>5</v>
      </c>
      <c r="X164" s="56"/>
      <c r="Y164" s="56">
        <v>5</v>
      </c>
      <c r="Z164" s="56"/>
      <c r="AA164" s="56"/>
      <c r="AB164" s="57">
        <f t="shared" si="146"/>
        <v>0</v>
      </c>
      <c r="AC164" s="90">
        <f t="shared" si="137"/>
        <v>5</v>
      </c>
      <c r="AD164" s="58">
        <f t="shared" si="138"/>
        <v>0</v>
      </c>
    </row>
    <row r="165" spans="1:30" ht="16.5" thickBot="1" x14ac:dyDescent="0.3">
      <c r="A165" s="95"/>
      <c r="B165" s="118"/>
      <c r="C165" s="69" t="s">
        <v>65</v>
      </c>
      <c r="D165" s="119"/>
      <c r="E165" s="62"/>
      <c r="F165" s="62"/>
      <c r="G165" s="120">
        <f t="shared" ref="G165:V165" si="147">ROUND(SUM(G157:G164),3)</f>
        <v>45788.5</v>
      </c>
      <c r="H165" s="120">
        <f t="shared" si="147"/>
        <v>0</v>
      </c>
      <c r="I165" s="120">
        <f t="shared" si="147"/>
        <v>0</v>
      </c>
      <c r="J165" s="120">
        <f t="shared" si="147"/>
        <v>0</v>
      </c>
      <c r="K165" s="120">
        <f t="shared" si="147"/>
        <v>0</v>
      </c>
      <c r="L165" s="120">
        <f t="shared" si="147"/>
        <v>617.70000000000005</v>
      </c>
      <c r="M165" s="120">
        <f t="shared" si="147"/>
        <v>46406.2</v>
      </c>
      <c r="N165" s="64"/>
      <c r="O165" s="120">
        <f t="shared" ref="O165:S165" si="148">ROUND(SUM(O157:O164),3)</f>
        <v>16594.599999999999</v>
      </c>
      <c r="P165" s="120">
        <f t="shared" si="148"/>
        <v>12751.6</v>
      </c>
      <c r="Q165" s="120">
        <f t="shared" si="148"/>
        <v>3847.6</v>
      </c>
      <c r="R165" s="120">
        <f t="shared" si="148"/>
        <v>0</v>
      </c>
      <c r="S165" s="120">
        <f t="shared" si="148"/>
        <v>16594.599999999999</v>
      </c>
      <c r="T165" s="120">
        <f t="shared" si="147"/>
        <v>0</v>
      </c>
      <c r="U165" s="120">
        <f t="shared" si="147"/>
        <v>0</v>
      </c>
      <c r="V165" s="121">
        <f t="shared" si="147"/>
        <v>0</v>
      </c>
      <c r="W165" s="122"/>
      <c r="X165" s="120">
        <f t="shared" ref="X165:AA165" si="149">ROUND(SUM(X157:X164),3)</f>
        <v>0</v>
      </c>
      <c r="Y165" s="120">
        <f t="shared" si="149"/>
        <v>36</v>
      </c>
      <c r="Z165" s="120">
        <f t="shared" si="149"/>
        <v>0</v>
      </c>
      <c r="AA165" s="120">
        <f t="shared" si="149"/>
        <v>0</v>
      </c>
      <c r="AB165" s="69"/>
      <c r="AC165" s="123">
        <f t="shared" si="137"/>
        <v>36</v>
      </c>
      <c r="AD165" s="71"/>
    </row>
    <row r="166" spans="1:30" ht="15.75" x14ac:dyDescent="0.25">
      <c r="A166" s="95"/>
      <c r="B166" s="108" t="s">
        <v>56</v>
      </c>
      <c r="C166" s="39" t="s">
        <v>166</v>
      </c>
      <c r="D166" s="73">
        <v>12.987</v>
      </c>
      <c r="E166" s="74">
        <v>322.8</v>
      </c>
      <c r="F166" s="74">
        <f t="shared" si="117"/>
        <v>4192.2035999999998</v>
      </c>
      <c r="G166" s="109">
        <v>3706.6</v>
      </c>
      <c r="H166" s="110"/>
      <c r="I166" s="110"/>
      <c r="J166" s="76"/>
      <c r="K166" s="76"/>
      <c r="L166" s="76">
        <v>4.9000000000000004</v>
      </c>
      <c r="M166" s="76">
        <f t="shared" ref="M166:M171" si="150">G166+L166</f>
        <v>3711.5</v>
      </c>
      <c r="N166" s="76">
        <f t="shared" ref="N166:N171" si="151">M166-F166</f>
        <v>-480.70359999999982</v>
      </c>
      <c r="O166" s="76">
        <v>1669.1</v>
      </c>
      <c r="P166" s="110">
        <v>1282.7</v>
      </c>
      <c r="Q166" s="110">
        <v>386.4</v>
      </c>
      <c r="R166" s="110"/>
      <c r="S166" s="77">
        <f t="shared" ref="S166:S171" si="152">O166+R166</f>
        <v>1669.1</v>
      </c>
      <c r="T166" s="110"/>
      <c r="U166" s="110"/>
      <c r="V166" s="111">
        <f t="shared" ref="V166:V171" si="153">T166+U166</f>
        <v>0</v>
      </c>
      <c r="W166" s="80">
        <v>4</v>
      </c>
      <c r="X166" s="39"/>
      <c r="Y166" s="39">
        <v>3.75</v>
      </c>
      <c r="Z166" s="39"/>
      <c r="AA166" s="39"/>
      <c r="AB166" s="81">
        <f t="shared" ref="AB166:AB171" si="154">(Y166+AA166)-W166</f>
        <v>-0.25</v>
      </c>
      <c r="AC166" s="112">
        <f t="shared" si="137"/>
        <v>3.75</v>
      </c>
      <c r="AD166" s="82">
        <v>-0.2</v>
      </c>
    </row>
    <row r="167" spans="1:30" ht="15.75" x14ac:dyDescent="0.25">
      <c r="A167" s="95"/>
      <c r="B167" s="113"/>
      <c r="C167" s="135" t="s">
        <v>167</v>
      </c>
      <c r="D167" s="47">
        <v>0.48</v>
      </c>
      <c r="E167" s="48">
        <v>6880.2</v>
      </c>
      <c r="F167" s="48">
        <f t="shared" si="117"/>
        <v>3302.4959999999996</v>
      </c>
      <c r="G167" s="117">
        <v>2768.5</v>
      </c>
      <c r="H167" s="85"/>
      <c r="I167" s="85"/>
      <c r="J167" s="51"/>
      <c r="K167" s="51"/>
      <c r="L167" s="51">
        <v>60.5</v>
      </c>
      <c r="M167" s="51">
        <f t="shared" si="150"/>
        <v>2829</v>
      </c>
      <c r="N167" s="51">
        <f t="shared" si="151"/>
        <v>-473.49599999999964</v>
      </c>
      <c r="O167" s="51">
        <v>919.4</v>
      </c>
      <c r="P167" s="85">
        <v>705.5</v>
      </c>
      <c r="Q167" s="85">
        <v>213.9</v>
      </c>
      <c r="R167" s="85"/>
      <c r="S167" s="52">
        <f t="shared" si="152"/>
        <v>919.4</v>
      </c>
      <c r="T167" s="85"/>
      <c r="U167" s="85"/>
      <c r="V167" s="116">
        <f t="shared" si="153"/>
        <v>0</v>
      </c>
      <c r="W167" s="86">
        <v>5</v>
      </c>
      <c r="X167" s="56"/>
      <c r="Y167" s="56">
        <v>3</v>
      </c>
      <c r="Z167" s="56"/>
      <c r="AA167" s="56"/>
      <c r="AB167" s="57">
        <f t="shared" si="154"/>
        <v>-2</v>
      </c>
      <c r="AC167" s="90">
        <f t="shared" si="137"/>
        <v>3</v>
      </c>
      <c r="AD167" s="58">
        <f t="shared" si="138"/>
        <v>-2</v>
      </c>
    </row>
    <row r="168" spans="1:30" ht="15" customHeight="1" x14ac:dyDescent="0.25">
      <c r="A168" s="95"/>
      <c r="B168" s="113"/>
      <c r="C168" s="135" t="s">
        <v>168</v>
      </c>
      <c r="D168" s="47">
        <v>0.73399999999999999</v>
      </c>
      <c r="E168" s="48">
        <v>4089.2</v>
      </c>
      <c r="F168" s="48">
        <f t="shared" si="117"/>
        <v>3001.4728</v>
      </c>
      <c r="G168" s="117">
        <v>2444</v>
      </c>
      <c r="H168" s="85"/>
      <c r="I168" s="85"/>
      <c r="J168" s="51"/>
      <c r="K168" s="51"/>
      <c r="L168" s="51">
        <v>60.5</v>
      </c>
      <c r="M168" s="51">
        <f t="shared" si="150"/>
        <v>2504.5</v>
      </c>
      <c r="N168" s="51">
        <f t="shared" si="151"/>
        <v>-496.97280000000001</v>
      </c>
      <c r="O168" s="51">
        <v>979.9</v>
      </c>
      <c r="P168" s="85">
        <v>756.2</v>
      </c>
      <c r="Q168" s="85">
        <v>223.7</v>
      </c>
      <c r="R168" s="85"/>
      <c r="S168" s="52">
        <f t="shared" si="152"/>
        <v>979.9</v>
      </c>
      <c r="T168" s="85"/>
      <c r="U168" s="85"/>
      <c r="V168" s="116">
        <f t="shared" si="153"/>
        <v>0</v>
      </c>
      <c r="W168" s="55">
        <v>5</v>
      </c>
      <c r="X168" s="56"/>
      <c r="Y168" s="56">
        <v>3</v>
      </c>
      <c r="Z168" s="56"/>
      <c r="AA168" s="56"/>
      <c r="AB168" s="57">
        <f t="shared" si="154"/>
        <v>-2</v>
      </c>
      <c r="AC168" s="90">
        <f t="shared" si="137"/>
        <v>3</v>
      </c>
      <c r="AD168" s="58">
        <f t="shared" si="138"/>
        <v>-2</v>
      </c>
    </row>
    <row r="169" spans="1:30" ht="15.75" x14ac:dyDescent="0.25">
      <c r="A169" s="95"/>
      <c r="B169" s="113"/>
      <c r="C169" s="85" t="s">
        <v>169</v>
      </c>
      <c r="D169" s="47">
        <v>3.2919999999999998</v>
      </c>
      <c r="E169" s="48">
        <v>2351.8000000000002</v>
      </c>
      <c r="F169" s="48">
        <f t="shared" si="117"/>
        <v>7742.1256000000003</v>
      </c>
      <c r="G169" s="117">
        <v>6988</v>
      </c>
      <c r="H169" s="85"/>
      <c r="I169" s="85"/>
      <c r="J169" s="51"/>
      <c r="K169" s="51"/>
      <c r="L169" s="51">
        <v>415.6</v>
      </c>
      <c r="M169" s="51">
        <f t="shared" si="150"/>
        <v>7403.6</v>
      </c>
      <c r="N169" s="51">
        <f t="shared" si="151"/>
        <v>-338.52559999999994</v>
      </c>
      <c r="O169" s="51">
        <v>2143.4</v>
      </c>
      <c r="P169" s="85">
        <v>1698.5</v>
      </c>
      <c r="Q169" s="85">
        <v>444.9</v>
      </c>
      <c r="R169" s="85"/>
      <c r="S169" s="52">
        <f t="shared" si="152"/>
        <v>2143.4</v>
      </c>
      <c r="T169" s="85"/>
      <c r="U169" s="85"/>
      <c r="V169" s="116">
        <f t="shared" si="153"/>
        <v>0</v>
      </c>
      <c r="W169" s="55">
        <v>5</v>
      </c>
      <c r="X169" s="56"/>
      <c r="Y169" s="56">
        <v>4</v>
      </c>
      <c r="Z169" s="56"/>
      <c r="AA169" s="56">
        <v>0.5</v>
      </c>
      <c r="AB169" s="57">
        <f t="shared" si="154"/>
        <v>-0.5</v>
      </c>
      <c r="AC169" s="90">
        <f t="shared" si="137"/>
        <v>4.5</v>
      </c>
      <c r="AD169" s="58">
        <f t="shared" si="138"/>
        <v>-0.5</v>
      </c>
    </row>
    <row r="170" spans="1:30" ht="15.75" x14ac:dyDescent="0.25">
      <c r="A170" s="95"/>
      <c r="B170" s="113"/>
      <c r="C170" s="85" t="s">
        <v>170</v>
      </c>
      <c r="D170" s="47">
        <v>1.075</v>
      </c>
      <c r="E170" s="48">
        <v>3897.4</v>
      </c>
      <c r="F170" s="48">
        <f t="shared" si="117"/>
        <v>4189.7049999999999</v>
      </c>
      <c r="G170" s="117">
        <v>4115.3999999999996</v>
      </c>
      <c r="H170" s="85"/>
      <c r="I170" s="85"/>
      <c r="J170" s="51"/>
      <c r="K170" s="51"/>
      <c r="L170" s="51">
        <v>60.5</v>
      </c>
      <c r="M170" s="51">
        <f t="shared" si="150"/>
        <v>4175.8999999999996</v>
      </c>
      <c r="N170" s="51">
        <f t="shared" si="151"/>
        <v>-13.805000000000291</v>
      </c>
      <c r="O170" s="51">
        <v>1329.1</v>
      </c>
      <c r="P170" s="85">
        <v>1024</v>
      </c>
      <c r="Q170" s="85">
        <v>305.10000000000002</v>
      </c>
      <c r="R170" s="85"/>
      <c r="S170" s="52">
        <f t="shared" si="152"/>
        <v>1329.1</v>
      </c>
      <c r="T170" s="85"/>
      <c r="U170" s="85"/>
      <c r="V170" s="116">
        <f t="shared" si="153"/>
        <v>0</v>
      </c>
      <c r="W170" s="55">
        <v>4</v>
      </c>
      <c r="X170" s="56"/>
      <c r="Y170" s="56">
        <v>4</v>
      </c>
      <c r="Z170" s="56"/>
      <c r="AA170" s="56"/>
      <c r="AB170" s="57">
        <f t="shared" si="154"/>
        <v>0</v>
      </c>
      <c r="AC170" s="90">
        <f t="shared" si="137"/>
        <v>4</v>
      </c>
      <c r="AD170" s="58">
        <f t="shared" si="138"/>
        <v>0</v>
      </c>
    </row>
    <row r="171" spans="1:30" ht="15.75" x14ac:dyDescent="0.25">
      <c r="A171" s="95"/>
      <c r="B171" s="113"/>
      <c r="C171" s="175" t="s">
        <v>171</v>
      </c>
      <c r="D171" s="47">
        <v>0.53200000000000003</v>
      </c>
      <c r="E171" s="48">
        <v>5817.1</v>
      </c>
      <c r="F171" s="48">
        <f t="shared" si="117"/>
        <v>3094.6972000000005</v>
      </c>
      <c r="G171" s="117">
        <v>3034.2</v>
      </c>
      <c r="H171" s="85"/>
      <c r="I171" s="85"/>
      <c r="J171" s="51"/>
      <c r="K171" s="51"/>
      <c r="L171" s="51">
        <v>60.5</v>
      </c>
      <c r="M171" s="51">
        <f t="shared" si="150"/>
        <v>3094.7</v>
      </c>
      <c r="N171" s="51">
        <f t="shared" si="151"/>
        <v>2.7999999992971425E-3</v>
      </c>
      <c r="O171" s="51">
        <v>804.6</v>
      </c>
      <c r="P171" s="85">
        <v>620.70000000000005</v>
      </c>
      <c r="Q171" s="85">
        <v>183.9</v>
      </c>
      <c r="R171" s="85"/>
      <c r="S171" s="52">
        <f t="shared" si="152"/>
        <v>804.6</v>
      </c>
      <c r="T171" s="85"/>
      <c r="U171" s="85"/>
      <c r="V171" s="116">
        <f t="shared" si="153"/>
        <v>0</v>
      </c>
      <c r="W171" s="55">
        <v>3</v>
      </c>
      <c r="X171" s="56"/>
      <c r="Y171" s="56">
        <v>2</v>
      </c>
      <c r="Z171" s="56"/>
      <c r="AA171" s="56"/>
      <c r="AB171" s="57">
        <f t="shared" si="154"/>
        <v>-1</v>
      </c>
      <c r="AC171" s="90">
        <f t="shared" si="137"/>
        <v>2</v>
      </c>
      <c r="AD171" s="58">
        <f t="shared" si="138"/>
        <v>-1</v>
      </c>
    </row>
    <row r="172" spans="1:30" ht="16.5" thickBot="1" x14ac:dyDescent="0.3">
      <c r="A172" s="95"/>
      <c r="B172" s="118"/>
      <c r="C172" s="69" t="s">
        <v>65</v>
      </c>
      <c r="D172" s="119"/>
      <c r="E172" s="62"/>
      <c r="F172" s="62"/>
      <c r="G172" s="120">
        <f t="shared" ref="G172:M172" si="155">ROUND(SUM(G166:G171),3)</f>
        <v>23056.7</v>
      </c>
      <c r="H172" s="120">
        <f t="shared" si="155"/>
        <v>0</v>
      </c>
      <c r="I172" s="120">
        <f t="shared" si="155"/>
        <v>0</v>
      </c>
      <c r="J172" s="120">
        <f t="shared" si="155"/>
        <v>0</v>
      </c>
      <c r="K172" s="120">
        <f t="shared" si="155"/>
        <v>0</v>
      </c>
      <c r="L172" s="120">
        <f t="shared" si="155"/>
        <v>662.5</v>
      </c>
      <c r="M172" s="120">
        <f t="shared" si="155"/>
        <v>23719.200000000001</v>
      </c>
      <c r="N172" s="64"/>
      <c r="O172" s="120">
        <f t="shared" ref="O172:V172" si="156">ROUND(SUM(O166:O171),3)</f>
        <v>7845.5</v>
      </c>
      <c r="P172" s="120">
        <f t="shared" si="156"/>
        <v>6087.6</v>
      </c>
      <c r="Q172" s="120">
        <f t="shared" si="156"/>
        <v>1757.9</v>
      </c>
      <c r="R172" s="120">
        <f t="shared" si="156"/>
        <v>0</v>
      </c>
      <c r="S172" s="120">
        <f t="shared" si="156"/>
        <v>7845.5</v>
      </c>
      <c r="T172" s="120">
        <f t="shared" si="156"/>
        <v>0</v>
      </c>
      <c r="U172" s="120">
        <f t="shared" si="156"/>
        <v>0</v>
      </c>
      <c r="V172" s="121">
        <f t="shared" si="156"/>
        <v>0</v>
      </c>
      <c r="W172" s="122"/>
      <c r="X172" s="120">
        <f>ROUND(SUM(X166:X171),3)</f>
        <v>0</v>
      </c>
      <c r="Y172" s="126">
        <f>ROUND(SUM(Y166:Y171),3)</f>
        <v>19.75</v>
      </c>
      <c r="Z172" s="120">
        <f>ROUND(SUM(Z166:Z171),3)</f>
        <v>0</v>
      </c>
      <c r="AA172" s="120">
        <f>ROUND(SUM(AA166:AA171),3)</f>
        <v>0.5</v>
      </c>
      <c r="AB172" s="69"/>
      <c r="AC172" s="123">
        <f t="shared" si="137"/>
        <v>20.25</v>
      </c>
      <c r="AD172" s="71"/>
    </row>
    <row r="173" spans="1:30" ht="15.75" x14ac:dyDescent="0.25">
      <c r="A173" s="95"/>
      <c r="B173" s="108" t="s">
        <v>57</v>
      </c>
      <c r="C173" s="190" t="s">
        <v>172</v>
      </c>
      <c r="D173" s="73">
        <v>7.4029999999999996</v>
      </c>
      <c r="E173" s="74">
        <v>152.5</v>
      </c>
      <c r="F173" s="74">
        <f t="shared" si="117"/>
        <v>1128.9575</v>
      </c>
      <c r="G173" s="109">
        <v>374.9</v>
      </c>
      <c r="H173" s="110"/>
      <c r="I173" s="110"/>
      <c r="J173" s="76"/>
      <c r="K173" s="76"/>
      <c r="L173" s="76">
        <v>191.2</v>
      </c>
      <c r="M173" s="76">
        <f>G173+L173</f>
        <v>566.09999999999991</v>
      </c>
      <c r="N173" s="76">
        <f>M173-F173</f>
        <v>-562.85750000000007</v>
      </c>
      <c r="O173" s="76"/>
      <c r="P173" s="110"/>
      <c r="Q173" s="110"/>
      <c r="R173" s="110"/>
      <c r="S173" s="75"/>
      <c r="T173" s="110"/>
      <c r="U173" s="110"/>
      <c r="V173" s="111">
        <f>T173+U173</f>
        <v>0</v>
      </c>
      <c r="W173" s="80">
        <v>1</v>
      </c>
      <c r="X173" s="39"/>
      <c r="Y173" s="39">
        <v>0</v>
      </c>
      <c r="Z173" s="39"/>
      <c r="AA173" s="39">
        <v>0</v>
      </c>
      <c r="AB173" s="81">
        <f t="shared" ref="AB173:AB176" si="157">(Y173+AA173)-W173</f>
        <v>-1</v>
      </c>
      <c r="AC173" s="112">
        <f t="shared" si="137"/>
        <v>0</v>
      </c>
      <c r="AD173" s="82">
        <f t="shared" si="138"/>
        <v>-1</v>
      </c>
    </row>
    <row r="174" spans="1:30" ht="15.75" x14ac:dyDescent="0.25">
      <c r="A174" s="95"/>
      <c r="B174" s="113"/>
      <c r="C174" s="162" t="s">
        <v>173</v>
      </c>
      <c r="D174" s="47">
        <v>1.5509999999999999</v>
      </c>
      <c r="E174" s="48">
        <v>3215.1</v>
      </c>
      <c r="F174" s="48">
        <f t="shared" si="117"/>
        <v>4986.6201000000001</v>
      </c>
      <c r="G174" s="117">
        <v>5070.7</v>
      </c>
      <c r="H174" s="85"/>
      <c r="I174" s="85"/>
      <c r="J174" s="51"/>
      <c r="K174" s="51"/>
      <c r="L174" s="51">
        <f>119.9-350.6</f>
        <v>-230.70000000000002</v>
      </c>
      <c r="M174" s="51">
        <f>G174+L174</f>
        <v>4840</v>
      </c>
      <c r="N174" s="51">
        <f>M174-F174</f>
        <v>-146.62010000000009</v>
      </c>
      <c r="O174" s="51">
        <v>1850.3</v>
      </c>
      <c r="P174" s="85">
        <v>1425.8</v>
      </c>
      <c r="Q174" s="85">
        <v>424.5</v>
      </c>
      <c r="R174" s="85"/>
      <c r="S174" s="52">
        <f t="shared" ref="S174:S176" si="158">O174+R174</f>
        <v>1850.3</v>
      </c>
      <c r="T174" s="85"/>
      <c r="U174" s="85"/>
      <c r="V174" s="116">
        <f>T174+U174</f>
        <v>0</v>
      </c>
      <c r="W174" s="55">
        <v>5</v>
      </c>
      <c r="X174" s="56"/>
      <c r="Y174" s="56">
        <v>4.5</v>
      </c>
      <c r="Z174" s="56"/>
      <c r="AA174" s="56"/>
      <c r="AB174" s="57">
        <f t="shared" si="157"/>
        <v>-0.5</v>
      </c>
      <c r="AC174" s="90">
        <f t="shared" si="137"/>
        <v>4.5</v>
      </c>
      <c r="AD174" s="58">
        <f t="shared" si="138"/>
        <v>-0.5</v>
      </c>
    </row>
    <row r="175" spans="1:30" ht="15.75" x14ac:dyDescent="0.25">
      <c r="A175" s="95"/>
      <c r="B175" s="113"/>
      <c r="C175" s="135" t="s">
        <v>174</v>
      </c>
      <c r="D175" s="47">
        <v>1.0189999999999999</v>
      </c>
      <c r="E175" s="48">
        <v>5326.3</v>
      </c>
      <c r="F175" s="48">
        <f t="shared" si="117"/>
        <v>5427.4996999999994</v>
      </c>
      <c r="G175" s="117">
        <v>5695.5</v>
      </c>
      <c r="H175" s="85"/>
      <c r="I175" s="85"/>
      <c r="J175" s="51"/>
      <c r="K175" s="51"/>
      <c r="L175" s="51">
        <f>82.6-350.6</f>
        <v>-268</v>
      </c>
      <c r="M175" s="51">
        <f>G175+L175</f>
        <v>5427.5</v>
      </c>
      <c r="N175" s="51">
        <f>M175-F175</f>
        <v>3.0000000060681487E-4</v>
      </c>
      <c r="O175" s="51">
        <v>1706.5</v>
      </c>
      <c r="P175" s="85">
        <v>1314.9</v>
      </c>
      <c r="Q175" s="85">
        <v>391.6</v>
      </c>
      <c r="R175" s="85"/>
      <c r="S175" s="52">
        <f t="shared" si="158"/>
        <v>1706.5</v>
      </c>
      <c r="T175" s="85"/>
      <c r="U175" s="85"/>
      <c r="V175" s="116">
        <f>T175+U175</f>
        <v>0</v>
      </c>
      <c r="W175" s="55">
        <v>5</v>
      </c>
      <c r="X175" s="56"/>
      <c r="Y175" s="56">
        <v>4</v>
      </c>
      <c r="Z175" s="56"/>
      <c r="AA175" s="56"/>
      <c r="AB175" s="57">
        <f t="shared" si="157"/>
        <v>-1</v>
      </c>
      <c r="AC175" s="90">
        <f t="shared" si="137"/>
        <v>4</v>
      </c>
      <c r="AD175" s="58">
        <f t="shared" si="138"/>
        <v>-1</v>
      </c>
    </row>
    <row r="176" spans="1:30" ht="15.75" x14ac:dyDescent="0.25">
      <c r="A176" s="95">
        <v>67</v>
      </c>
      <c r="B176" s="113"/>
      <c r="C176" s="188" t="s">
        <v>175</v>
      </c>
      <c r="D176" s="47">
        <v>1.4910000000000001</v>
      </c>
      <c r="E176" s="48">
        <v>3837.5</v>
      </c>
      <c r="F176" s="48">
        <f t="shared" si="117"/>
        <v>5721.7125000000005</v>
      </c>
      <c r="G176" s="117">
        <v>5189.5</v>
      </c>
      <c r="H176" s="85"/>
      <c r="I176" s="85"/>
      <c r="J176" s="51"/>
      <c r="K176" s="51"/>
      <c r="L176" s="51">
        <f>161.3-350.6</f>
        <v>-189.3</v>
      </c>
      <c r="M176" s="51">
        <f>G176+L176</f>
        <v>5000.2</v>
      </c>
      <c r="N176" s="51">
        <f>M176-F176</f>
        <v>-721.51250000000073</v>
      </c>
      <c r="O176" s="51">
        <v>1962.9</v>
      </c>
      <c r="P176" s="85">
        <v>1507.6</v>
      </c>
      <c r="Q176" s="85">
        <v>455.3</v>
      </c>
      <c r="R176" s="85">
        <v>-231.4</v>
      </c>
      <c r="S176" s="52">
        <f t="shared" si="158"/>
        <v>1731.5</v>
      </c>
      <c r="T176" s="85"/>
      <c r="U176" s="85"/>
      <c r="V176" s="116">
        <f>T176+U176</f>
        <v>0</v>
      </c>
      <c r="W176" s="55">
        <v>5</v>
      </c>
      <c r="X176" s="56"/>
      <c r="Y176" s="56">
        <v>5</v>
      </c>
      <c r="Z176" s="56"/>
      <c r="AA176" s="56">
        <v>-1</v>
      </c>
      <c r="AB176" s="57">
        <f t="shared" si="157"/>
        <v>-1</v>
      </c>
      <c r="AC176" s="90">
        <f t="shared" si="137"/>
        <v>4</v>
      </c>
      <c r="AD176" s="58">
        <f t="shared" si="138"/>
        <v>-1</v>
      </c>
    </row>
    <row r="177" spans="1:30" ht="16.5" thickBot="1" x14ac:dyDescent="0.3">
      <c r="A177" s="95"/>
      <c r="B177" s="118"/>
      <c r="C177" s="69" t="s">
        <v>65</v>
      </c>
      <c r="D177" s="137"/>
      <c r="E177" s="62"/>
      <c r="F177" s="62"/>
      <c r="G177" s="123">
        <f t="shared" ref="G177:L177" si="159">ROUND(SUM(G173:G176),3)</f>
        <v>16330.6</v>
      </c>
      <c r="H177" s="123">
        <f t="shared" si="159"/>
        <v>0</v>
      </c>
      <c r="I177" s="123">
        <f t="shared" si="159"/>
        <v>0</v>
      </c>
      <c r="J177" s="123">
        <f t="shared" si="159"/>
        <v>0</v>
      </c>
      <c r="K177" s="123">
        <f t="shared" si="159"/>
        <v>0</v>
      </c>
      <c r="L177" s="123">
        <f t="shared" si="159"/>
        <v>-496.8</v>
      </c>
      <c r="M177" s="123">
        <f>ROUND(SUM(M173:M176),3)</f>
        <v>15833.8</v>
      </c>
      <c r="N177" s="123"/>
      <c r="O177" s="123">
        <f t="shared" ref="O177:S177" si="160">ROUND(SUM(O173:O176),3)</f>
        <v>5519.7</v>
      </c>
      <c r="P177" s="123">
        <f t="shared" si="160"/>
        <v>4248.3</v>
      </c>
      <c r="Q177" s="123">
        <f t="shared" si="160"/>
        <v>1271.4000000000001</v>
      </c>
      <c r="R177" s="123">
        <f t="shared" si="160"/>
        <v>-231.4</v>
      </c>
      <c r="S177" s="123">
        <f t="shared" si="160"/>
        <v>5288.3</v>
      </c>
      <c r="T177" s="123">
        <f>ROUND(SUM(T173:T176),3)</f>
        <v>0</v>
      </c>
      <c r="U177" s="123">
        <f>ROUND(SUM(U173:U176),3)</f>
        <v>0</v>
      </c>
      <c r="V177" s="138">
        <f>ROUND(SUM(V173:V176),3)</f>
        <v>0</v>
      </c>
      <c r="W177" s="94"/>
      <c r="X177" s="123">
        <f t="shared" ref="X177:AB177" si="161">ROUND(SUM(X173:X176),3)</f>
        <v>0</v>
      </c>
      <c r="Y177" s="123">
        <f t="shared" si="161"/>
        <v>13.5</v>
      </c>
      <c r="Z177" s="123">
        <f t="shared" si="161"/>
        <v>0</v>
      </c>
      <c r="AA177" s="123">
        <f t="shared" si="161"/>
        <v>-1</v>
      </c>
      <c r="AB177" s="123">
        <f t="shared" si="161"/>
        <v>-3.5</v>
      </c>
      <c r="AC177" s="123">
        <f t="shared" si="137"/>
        <v>12.5</v>
      </c>
      <c r="AD177" s="71"/>
    </row>
    <row r="178" spans="1:30" s="192" customFormat="1" x14ac:dyDescent="0.2">
      <c r="A178"/>
      <c r="B178" s="191"/>
      <c r="H178" s="193"/>
      <c r="I178" s="193"/>
      <c r="J178" s="193"/>
      <c r="K178" s="193"/>
      <c r="L178" s="193"/>
      <c r="M178" s="193"/>
      <c r="N178" s="193"/>
      <c r="V178" s="194"/>
      <c r="W178" s="195"/>
      <c r="AC178" s="196"/>
    </row>
    <row r="179" spans="1:30" s="192" customFormat="1" x14ac:dyDescent="0.2">
      <c r="A179"/>
      <c r="B179" s="191"/>
      <c r="H179" s="193"/>
      <c r="I179" s="193"/>
      <c r="J179" s="193"/>
      <c r="K179" s="193"/>
      <c r="L179" s="193"/>
      <c r="M179" s="193"/>
      <c r="N179" s="193"/>
      <c r="V179" s="194"/>
      <c r="W179" s="195"/>
      <c r="AC179" s="196"/>
    </row>
    <row r="180" spans="1:30" s="192" customFormat="1" x14ac:dyDescent="0.2">
      <c r="A180"/>
      <c r="B180" s="191"/>
      <c r="H180" s="193"/>
      <c r="I180" s="193"/>
      <c r="J180" s="193"/>
      <c r="K180" s="193"/>
      <c r="L180" s="193"/>
      <c r="M180" s="193"/>
      <c r="N180" s="193"/>
      <c r="V180" s="194"/>
      <c r="W180" s="195"/>
    </row>
    <row r="181" spans="1:30" s="192" customFormat="1" x14ac:dyDescent="0.2">
      <c r="A181"/>
      <c r="B181" s="191"/>
      <c r="H181" s="193"/>
      <c r="I181" s="193"/>
      <c r="J181" s="193"/>
      <c r="K181" s="193"/>
      <c r="L181" s="193"/>
      <c r="M181" s="193"/>
      <c r="N181" s="193"/>
      <c r="V181" s="194"/>
      <c r="W181" s="195"/>
    </row>
    <row r="182" spans="1:30" s="192" customFormat="1" x14ac:dyDescent="0.2">
      <c r="A182"/>
      <c r="B182" s="191"/>
      <c r="H182" s="193"/>
      <c r="I182" s="193"/>
      <c r="J182" s="193"/>
      <c r="K182" s="193"/>
      <c r="L182" s="193"/>
      <c r="M182" s="193"/>
      <c r="N182" s="193"/>
      <c r="V182" s="194"/>
      <c r="W182" s="195"/>
    </row>
    <row r="183" spans="1:30" s="192" customFormat="1" x14ac:dyDescent="0.2">
      <c r="A183"/>
      <c r="B183" s="191"/>
      <c r="H183" s="193"/>
      <c r="I183" s="193"/>
      <c r="J183" s="193"/>
      <c r="K183" s="193"/>
      <c r="L183" s="193"/>
      <c r="M183" s="193"/>
      <c r="N183" s="193"/>
      <c r="V183" s="194"/>
      <c r="W183" s="195"/>
    </row>
    <row r="184" spans="1:30" s="192" customFormat="1" x14ac:dyDescent="0.2">
      <c r="A184"/>
      <c r="B184" s="191"/>
      <c r="H184" s="193"/>
      <c r="I184" s="193"/>
      <c r="J184" s="193"/>
      <c r="K184" s="193"/>
      <c r="L184" s="193"/>
      <c r="M184" s="193"/>
      <c r="N184" s="193"/>
      <c r="V184" s="194"/>
      <c r="W184" s="195"/>
    </row>
    <row r="185" spans="1:30" s="192" customFormat="1" x14ac:dyDescent="0.2">
      <c r="A185"/>
      <c r="B185" s="191"/>
      <c r="H185" s="193"/>
      <c r="I185" s="193"/>
      <c r="J185" s="193"/>
      <c r="K185" s="193"/>
      <c r="L185" s="193"/>
      <c r="M185" s="193"/>
      <c r="N185" s="193"/>
      <c r="V185" s="194"/>
      <c r="W185" s="195"/>
    </row>
    <row r="186" spans="1:30" s="192" customFormat="1" x14ac:dyDescent="0.2">
      <c r="A186"/>
      <c r="B186" s="191"/>
      <c r="H186" s="193"/>
      <c r="I186" s="193"/>
      <c r="J186" s="193"/>
      <c r="K186" s="193"/>
      <c r="L186" s="193"/>
      <c r="M186" s="193"/>
      <c r="N186" s="193"/>
      <c r="V186" s="194"/>
      <c r="W186" s="195"/>
    </row>
    <row r="187" spans="1:30" s="192" customFormat="1" x14ac:dyDescent="0.2">
      <c r="A187"/>
      <c r="B187" s="191"/>
      <c r="H187" s="193"/>
      <c r="I187" s="193"/>
      <c r="J187" s="193"/>
      <c r="K187" s="193"/>
      <c r="L187" s="193"/>
      <c r="M187" s="193"/>
      <c r="N187" s="193"/>
      <c r="V187" s="194"/>
      <c r="W187" s="195"/>
    </row>
    <row r="188" spans="1:30" s="192" customFormat="1" x14ac:dyDescent="0.2">
      <c r="A188"/>
      <c r="B188" s="191"/>
      <c r="H188" s="193"/>
      <c r="I188" s="193"/>
      <c r="J188" s="193"/>
      <c r="K188" s="193"/>
      <c r="L188" s="193"/>
      <c r="M188" s="193"/>
      <c r="N188" s="193"/>
      <c r="V188" s="194"/>
      <c r="W188" s="195"/>
    </row>
    <row r="189" spans="1:30" s="192" customFormat="1" x14ac:dyDescent="0.2">
      <c r="A189"/>
      <c r="B189" s="191"/>
      <c r="H189" s="193"/>
      <c r="I189" s="193"/>
      <c r="J189" s="193"/>
      <c r="K189" s="193"/>
      <c r="L189" s="193"/>
      <c r="M189" s="193"/>
      <c r="N189" s="193"/>
      <c r="V189" s="194"/>
      <c r="W189" s="195"/>
    </row>
    <row r="190" spans="1:30" s="192" customFormat="1" x14ac:dyDescent="0.2">
      <c r="A190"/>
      <c r="B190" s="191"/>
      <c r="H190" s="193"/>
      <c r="I190" s="193"/>
      <c r="J190" s="193"/>
      <c r="K190" s="193"/>
      <c r="L190" s="193"/>
      <c r="M190" s="193"/>
      <c r="N190" s="193"/>
      <c r="V190" s="194"/>
      <c r="W190" s="195"/>
    </row>
    <row r="191" spans="1:30" s="192" customFormat="1" x14ac:dyDescent="0.2">
      <c r="A191"/>
      <c r="B191" s="191"/>
      <c r="H191" s="193"/>
      <c r="I191" s="193"/>
      <c r="J191" s="193"/>
      <c r="K191" s="193"/>
      <c r="L191" s="193"/>
      <c r="M191" s="193"/>
      <c r="N191" s="193"/>
      <c r="V191" s="194"/>
      <c r="W191" s="195"/>
    </row>
    <row r="192" spans="1:30" s="192" customFormat="1" x14ac:dyDescent="0.2">
      <c r="A192"/>
      <c r="B192" s="191"/>
      <c r="H192" s="193"/>
      <c r="I192" s="193"/>
      <c r="J192" s="193"/>
      <c r="K192" s="193"/>
      <c r="L192" s="193"/>
      <c r="M192" s="193"/>
      <c r="N192" s="193"/>
      <c r="V192" s="194"/>
      <c r="W192" s="195"/>
    </row>
    <row r="193" spans="1:23" s="192" customFormat="1" x14ac:dyDescent="0.2">
      <c r="A193"/>
      <c r="B193" s="191"/>
      <c r="H193" s="193"/>
      <c r="I193" s="193"/>
      <c r="J193" s="193"/>
      <c r="K193" s="193"/>
      <c r="L193" s="193"/>
      <c r="M193" s="193"/>
      <c r="N193" s="193"/>
      <c r="V193" s="194"/>
      <c r="W193" s="195"/>
    </row>
    <row r="194" spans="1:23" s="192" customFormat="1" x14ac:dyDescent="0.2">
      <c r="A194"/>
      <c r="B194" s="191"/>
      <c r="H194" s="193"/>
      <c r="I194" s="193"/>
      <c r="J194" s="193"/>
      <c r="K194" s="193"/>
      <c r="L194" s="193"/>
      <c r="M194" s="193"/>
      <c r="N194" s="193"/>
      <c r="V194" s="194"/>
      <c r="W194" s="195"/>
    </row>
    <row r="195" spans="1:23" s="192" customFormat="1" x14ac:dyDescent="0.2">
      <c r="A195"/>
      <c r="B195" s="191"/>
      <c r="H195" s="193"/>
      <c r="I195" s="193"/>
      <c r="J195" s="193"/>
      <c r="K195" s="193"/>
      <c r="L195" s="193"/>
      <c r="M195" s="193"/>
      <c r="N195" s="193"/>
      <c r="V195" s="194"/>
      <c r="W195" s="195"/>
    </row>
    <row r="196" spans="1:23" s="192" customFormat="1" x14ac:dyDescent="0.2">
      <c r="A196"/>
      <c r="B196" s="191"/>
      <c r="H196" s="193"/>
      <c r="I196" s="193"/>
      <c r="J196" s="193"/>
      <c r="K196" s="193"/>
      <c r="L196" s="193"/>
      <c r="M196" s="193"/>
      <c r="N196" s="193"/>
      <c r="V196" s="194"/>
      <c r="W196" s="195"/>
    </row>
    <row r="197" spans="1:23" s="192" customFormat="1" x14ac:dyDescent="0.2">
      <c r="A197"/>
      <c r="B197" s="191"/>
      <c r="H197" s="193"/>
      <c r="I197" s="193"/>
      <c r="J197" s="193"/>
      <c r="K197" s="193"/>
      <c r="L197" s="193"/>
      <c r="M197" s="193"/>
      <c r="N197" s="193"/>
      <c r="V197" s="194"/>
      <c r="W197" s="195"/>
    </row>
    <row r="198" spans="1:23" s="192" customFormat="1" x14ac:dyDescent="0.2">
      <c r="A198"/>
      <c r="B198" s="191"/>
      <c r="H198" s="193"/>
      <c r="I198" s="193"/>
      <c r="J198" s="193"/>
      <c r="K198" s="193"/>
      <c r="L198" s="193"/>
      <c r="M198" s="193"/>
      <c r="N198" s="193"/>
      <c r="V198" s="194"/>
      <c r="W198" s="195"/>
    </row>
    <row r="199" spans="1:23" s="192" customFormat="1" x14ac:dyDescent="0.2">
      <c r="A199"/>
      <c r="B199" s="191"/>
      <c r="H199" s="193"/>
      <c r="I199" s="193"/>
      <c r="J199" s="193"/>
      <c r="K199" s="193"/>
      <c r="L199" s="193"/>
      <c r="M199" s="193"/>
      <c r="N199" s="193"/>
      <c r="V199" s="194"/>
      <c r="W199" s="195"/>
    </row>
    <row r="200" spans="1:23" s="192" customFormat="1" x14ac:dyDescent="0.2">
      <c r="A200"/>
      <c r="B200" s="191"/>
      <c r="H200" s="193"/>
      <c r="I200" s="193"/>
      <c r="J200" s="193"/>
      <c r="K200" s="193"/>
      <c r="L200" s="193"/>
      <c r="M200" s="193"/>
      <c r="N200" s="193"/>
      <c r="V200" s="194"/>
      <c r="W200" s="195"/>
    </row>
    <row r="201" spans="1:23" s="192" customFormat="1" x14ac:dyDescent="0.2">
      <c r="A201"/>
      <c r="B201" s="191"/>
      <c r="H201" s="193"/>
      <c r="I201" s="193"/>
      <c r="J201" s="193"/>
      <c r="K201" s="193"/>
      <c r="L201" s="193"/>
      <c r="M201" s="193"/>
      <c r="N201" s="193"/>
      <c r="V201" s="194"/>
      <c r="W201" s="195"/>
    </row>
    <row r="202" spans="1:23" s="192" customFormat="1" x14ac:dyDescent="0.2">
      <c r="A202"/>
      <c r="B202" s="191"/>
      <c r="H202" s="193"/>
      <c r="I202" s="193"/>
      <c r="J202" s="193"/>
      <c r="K202" s="193"/>
      <c r="L202" s="193"/>
      <c r="M202" s="193"/>
      <c r="N202" s="193"/>
      <c r="V202" s="194"/>
      <c r="W202" s="195"/>
    </row>
    <row r="203" spans="1:23" s="192" customFormat="1" x14ac:dyDescent="0.2">
      <c r="A203"/>
      <c r="B203" s="191"/>
      <c r="H203" s="193"/>
      <c r="I203" s="193"/>
      <c r="J203" s="193"/>
      <c r="K203" s="193"/>
      <c r="L203" s="193"/>
      <c r="M203" s="193"/>
      <c r="N203" s="193"/>
      <c r="V203" s="194"/>
      <c r="W203" s="195"/>
    </row>
    <row r="204" spans="1:23" s="192" customFormat="1" x14ac:dyDescent="0.2">
      <c r="A204"/>
      <c r="B204" s="191"/>
      <c r="H204" s="193"/>
      <c r="I204" s="193"/>
      <c r="J204" s="193"/>
      <c r="K204" s="193"/>
      <c r="L204" s="193"/>
      <c r="M204" s="193"/>
      <c r="N204" s="193"/>
      <c r="V204" s="194"/>
      <c r="W204" s="195"/>
    </row>
    <row r="205" spans="1:23" s="192" customFormat="1" x14ac:dyDescent="0.2">
      <c r="A205"/>
      <c r="B205" s="191"/>
      <c r="H205" s="193"/>
      <c r="I205" s="193"/>
      <c r="J205" s="193"/>
      <c r="K205" s="193"/>
      <c r="L205" s="193"/>
      <c r="M205" s="193"/>
      <c r="N205" s="193"/>
      <c r="V205" s="194"/>
      <c r="W205" s="195"/>
    </row>
    <row r="206" spans="1:23" s="192" customFormat="1" x14ac:dyDescent="0.2">
      <c r="A206"/>
      <c r="B206" s="191"/>
      <c r="H206" s="193"/>
      <c r="I206" s="193"/>
      <c r="J206" s="193"/>
      <c r="K206" s="193"/>
      <c r="L206" s="193"/>
      <c r="M206" s="193"/>
      <c r="N206" s="193"/>
      <c r="V206" s="194"/>
      <c r="W206" s="195"/>
    </row>
    <row r="207" spans="1:23" s="192" customFormat="1" x14ac:dyDescent="0.2">
      <c r="A207"/>
      <c r="B207" s="191"/>
      <c r="H207" s="193"/>
      <c r="I207" s="193"/>
      <c r="J207" s="193"/>
      <c r="K207" s="193"/>
      <c r="L207" s="193"/>
      <c r="M207" s="193"/>
      <c r="N207" s="193"/>
      <c r="V207" s="194"/>
      <c r="W207" s="195"/>
    </row>
    <row r="208" spans="1:23" s="192" customFormat="1" x14ac:dyDescent="0.2">
      <c r="A208"/>
      <c r="B208" s="191"/>
      <c r="H208" s="193"/>
      <c r="I208" s="193"/>
      <c r="J208" s="193"/>
      <c r="K208" s="193"/>
      <c r="L208" s="193"/>
      <c r="M208" s="193"/>
      <c r="N208" s="193"/>
      <c r="V208" s="194"/>
      <c r="W208" s="195"/>
    </row>
    <row r="209" spans="1:23" s="192" customFormat="1" x14ac:dyDescent="0.2">
      <c r="A209"/>
      <c r="B209" s="191"/>
      <c r="H209" s="193"/>
      <c r="I209" s="193"/>
      <c r="J209" s="193"/>
      <c r="K209" s="193"/>
      <c r="L209" s="193"/>
      <c r="M209" s="193"/>
      <c r="N209" s="193"/>
      <c r="V209" s="194"/>
      <c r="W209" s="195"/>
    </row>
    <row r="210" spans="1:23" s="192" customFormat="1" x14ac:dyDescent="0.2">
      <c r="A210"/>
      <c r="B210" s="191"/>
      <c r="H210" s="193"/>
      <c r="I210" s="193"/>
      <c r="J210" s="193"/>
      <c r="K210" s="193"/>
      <c r="L210" s="193"/>
      <c r="M210" s="193"/>
      <c r="N210" s="193"/>
      <c r="V210" s="194"/>
      <c r="W210" s="195"/>
    </row>
    <row r="211" spans="1:23" s="192" customFormat="1" x14ac:dyDescent="0.2">
      <c r="A211"/>
      <c r="B211" s="191"/>
      <c r="H211" s="193"/>
      <c r="I211" s="193"/>
      <c r="J211" s="193"/>
      <c r="K211" s="193"/>
      <c r="L211" s="193"/>
      <c r="M211" s="193"/>
      <c r="N211" s="193"/>
      <c r="V211" s="194"/>
      <c r="W211" s="195"/>
    </row>
    <row r="212" spans="1:23" s="192" customFormat="1" x14ac:dyDescent="0.2">
      <c r="A212"/>
      <c r="B212" s="191"/>
      <c r="H212" s="193"/>
      <c r="I212" s="193"/>
      <c r="J212" s="193"/>
      <c r="K212" s="193"/>
      <c r="L212" s="193"/>
      <c r="M212" s="193"/>
      <c r="N212" s="193"/>
      <c r="V212" s="194"/>
      <c r="W212" s="195"/>
    </row>
    <row r="213" spans="1:23" s="192" customFormat="1" x14ac:dyDescent="0.2">
      <c r="A213"/>
      <c r="B213" s="191"/>
      <c r="H213" s="193"/>
      <c r="I213" s="193"/>
      <c r="J213" s="193"/>
      <c r="K213" s="193"/>
      <c r="L213" s="193"/>
      <c r="M213" s="193"/>
      <c r="N213" s="193"/>
      <c r="V213" s="194"/>
      <c r="W213" s="195"/>
    </row>
    <row r="214" spans="1:23" s="192" customFormat="1" x14ac:dyDescent="0.2">
      <c r="A214"/>
      <c r="B214" s="191"/>
      <c r="H214" s="193"/>
      <c r="I214" s="193"/>
      <c r="J214" s="193"/>
      <c r="K214" s="193"/>
      <c r="L214" s="193"/>
      <c r="M214" s="193"/>
      <c r="N214" s="193"/>
      <c r="V214" s="194"/>
      <c r="W214" s="195"/>
    </row>
    <row r="215" spans="1:23" s="192" customFormat="1" x14ac:dyDescent="0.2">
      <c r="A215"/>
      <c r="B215" s="191"/>
      <c r="H215" s="193"/>
      <c r="I215" s="193"/>
      <c r="J215" s="193"/>
      <c r="K215" s="193"/>
      <c r="L215" s="193"/>
      <c r="M215" s="193"/>
      <c r="N215" s="193"/>
      <c r="V215" s="194"/>
      <c r="W215" s="195"/>
    </row>
    <row r="216" spans="1:23" s="192" customFormat="1" x14ac:dyDescent="0.2">
      <c r="A216"/>
      <c r="B216" s="191"/>
      <c r="H216" s="193"/>
      <c r="I216" s="193"/>
      <c r="J216" s="193"/>
      <c r="K216" s="193"/>
      <c r="L216" s="193"/>
      <c r="M216" s="193"/>
      <c r="N216" s="193"/>
      <c r="V216" s="194"/>
      <c r="W216" s="195"/>
    </row>
    <row r="217" spans="1:23" s="192" customFormat="1" x14ac:dyDescent="0.2">
      <c r="A217"/>
      <c r="B217" s="191"/>
      <c r="H217" s="193"/>
      <c r="I217" s="193"/>
      <c r="J217" s="193"/>
      <c r="K217" s="193"/>
      <c r="L217" s="193"/>
      <c r="M217" s="193"/>
      <c r="N217" s="193"/>
      <c r="V217" s="194"/>
      <c r="W217" s="195"/>
    </row>
    <row r="218" spans="1:23" s="192" customFormat="1" x14ac:dyDescent="0.2">
      <c r="A218"/>
      <c r="B218" s="191"/>
      <c r="H218" s="193"/>
      <c r="I218" s="193"/>
      <c r="J218" s="193"/>
      <c r="K218" s="193"/>
      <c r="L218" s="193"/>
      <c r="M218" s="193"/>
      <c r="N218" s="193"/>
      <c r="V218" s="194"/>
      <c r="W218" s="195"/>
    </row>
    <row r="219" spans="1:23" s="192" customFormat="1" x14ac:dyDescent="0.2">
      <c r="A219"/>
      <c r="B219" s="191"/>
      <c r="H219" s="193"/>
      <c r="I219" s="193"/>
      <c r="J219" s="193"/>
      <c r="K219" s="193"/>
      <c r="L219" s="193"/>
      <c r="M219" s="193"/>
      <c r="N219" s="193"/>
      <c r="V219" s="194"/>
      <c r="W219" s="195"/>
    </row>
    <row r="220" spans="1:23" s="192" customFormat="1" x14ac:dyDescent="0.2">
      <c r="A220"/>
      <c r="B220" s="191"/>
      <c r="H220" s="193"/>
      <c r="I220" s="193"/>
      <c r="J220" s="193"/>
      <c r="K220" s="193"/>
      <c r="L220" s="193"/>
      <c r="M220" s="193"/>
      <c r="N220" s="193"/>
      <c r="V220" s="194"/>
      <c r="W220" s="195"/>
    </row>
    <row r="221" spans="1:23" s="192" customFormat="1" x14ac:dyDescent="0.2">
      <c r="A221"/>
      <c r="B221" s="191"/>
      <c r="H221" s="193"/>
      <c r="I221" s="193"/>
      <c r="J221" s="193"/>
      <c r="K221" s="193"/>
      <c r="L221" s="193"/>
      <c r="M221" s="193"/>
      <c r="N221" s="193"/>
      <c r="V221" s="194"/>
      <c r="W221" s="195"/>
    </row>
    <row r="222" spans="1:23" s="192" customFormat="1" x14ac:dyDescent="0.2">
      <c r="A222"/>
      <c r="B222" s="191"/>
      <c r="H222" s="193"/>
      <c r="I222" s="193"/>
      <c r="J222" s="193"/>
      <c r="K222" s="193"/>
      <c r="L222" s="193"/>
      <c r="M222" s="193"/>
      <c r="N222" s="193"/>
      <c r="V222" s="194"/>
      <c r="W222" s="195"/>
    </row>
    <row r="223" spans="1:23" s="192" customFormat="1" x14ac:dyDescent="0.2">
      <c r="A223"/>
      <c r="B223" s="191"/>
      <c r="H223" s="193"/>
      <c r="I223" s="193"/>
      <c r="J223" s="193"/>
      <c r="K223" s="193"/>
      <c r="L223" s="193"/>
      <c r="M223" s="193"/>
      <c r="N223" s="193"/>
      <c r="V223" s="194"/>
      <c r="W223" s="195"/>
    </row>
    <row r="224" spans="1:23" s="192" customFormat="1" x14ac:dyDescent="0.2">
      <c r="A224"/>
      <c r="B224" s="191"/>
      <c r="H224" s="193"/>
      <c r="I224" s="193"/>
      <c r="J224" s="193"/>
      <c r="K224" s="193"/>
      <c r="L224" s="193"/>
      <c r="M224" s="193"/>
      <c r="N224" s="193"/>
      <c r="V224" s="194"/>
      <c r="W224" s="195"/>
    </row>
    <row r="225" spans="1:23" s="192" customFormat="1" x14ac:dyDescent="0.2">
      <c r="A225"/>
      <c r="B225" s="191"/>
      <c r="H225" s="193"/>
      <c r="I225" s="193"/>
      <c r="J225" s="193"/>
      <c r="K225" s="193"/>
      <c r="L225" s="193"/>
      <c r="M225" s="193"/>
      <c r="N225" s="193"/>
      <c r="V225" s="194"/>
      <c r="W225" s="195"/>
    </row>
    <row r="226" spans="1:23" s="192" customFormat="1" x14ac:dyDescent="0.2">
      <c r="A226"/>
      <c r="B226" s="191"/>
      <c r="H226" s="193"/>
      <c r="I226" s="193"/>
      <c r="J226" s="193"/>
      <c r="K226" s="193"/>
      <c r="L226" s="193"/>
      <c r="M226" s="193"/>
      <c r="N226" s="193"/>
      <c r="V226" s="194"/>
      <c r="W226" s="195"/>
    </row>
    <row r="227" spans="1:23" s="192" customFormat="1" x14ac:dyDescent="0.2">
      <c r="A227"/>
      <c r="B227" s="191"/>
      <c r="H227" s="193"/>
      <c r="I227" s="193"/>
      <c r="J227" s="193"/>
      <c r="K227" s="193"/>
      <c r="L227" s="193"/>
      <c r="M227" s="193"/>
      <c r="N227" s="193"/>
      <c r="V227" s="194"/>
      <c r="W227" s="195"/>
    </row>
    <row r="228" spans="1:23" s="192" customFormat="1" x14ac:dyDescent="0.2">
      <c r="A228"/>
      <c r="B228" s="191"/>
      <c r="H228" s="193"/>
      <c r="I228" s="193"/>
      <c r="J228" s="193"/>
      <c r="K228" s="193"/>
      <c r="L228" s="193"/>
      <c r="M228" s="193"/>
      <c r="N228" s="193"/>
      <c r="V228" s="194"/>
      <c r="W228" s="195"/>
    </row>
    <row r="229" spans="1:23" s="192" customFormat="1" x14ac:dyDescent="0.2">
      <c r="A229"/>
      <c r="B229" s="191"/>
      <c r="H229" s="193"/>
      <c r="I229" s="193"/>
      <c r="J229" s="193"/>
      <c r="K229" s="193"/>
      <c r="L229" s="193"/>
      <c r="M229" s="193"/>
      <c r="N229" s="193"/>
      <c r="V229" s="194"/>
      <c r="W229" s="195"/>
    </row>
    <row r="230" spans="1:23" s="192" customFormat="1" x14ac:dyDescent="0.2">
      <c r="A230"/>
      <c r="B230" s="191"/>
      <c r="H230" s="193"/>
      <c r="I230" s="193"/>
      <c r="J230" s="193"/>
      <c r="K230" s="193"/>
      <c r="L230" s="193"/>
      <c r="M230" s="193"/>
      <c r="N230" s="193"/>
      <c r="V230" s="194"/>
      <c r="W230" s="195"/>
    </row>
    <row r="231" spans="1:23" s="192" customFormat="1" x14ac:dyDescent="0.2">
      <c r="A231"/>
      <c r="B231" s="191"/>
      <c r="H231" s="193"/>
      <c r="I231" s="193"/>
      <c r="J231" s="193"/>
      <c r="K231" s="193"/>
      <c r="L231" s="193"/>
      <c r="M231" s="193"/>
      <c r="N231" s="193"/>
      <c r="V231" s="194"/>
      <c r="W231" s="195"/>
    </row>
    <row r="232" spans="1:23" s="192" customFormat="1" x14ac:dyDescent="0.2">
      <c r="A232"/>
      <c r="B232" s="191"/>
      <c r="V232" s="194"/>
      <c r="W232" s="195"/>
    </row>
    <row r="233" spans="1:23" s="192" customFormat="1" x14ac:dyDescent="0.2">
      <c r="A233"/>
      <c r="B233" s="191"/>
      <c r="V233" s="194"/>
      <c r="W233" s="195"/>
    </row>
    <row r="234" spans="1:23" s="192" customFormat="1" x14ac:dyDescent="0.2">
      <c r="A234"/>
      <c r="B234" s="191"/>
      <c r="V234" s="194"/>
      <c r="W234" s="195"/>
    </row>
    <row r="235" spans="1:23" s="192" customFormat="1" x14ac:dyDescent="0.2">
      <c r="A235"/>
      <c r="B235" s="191"/>
      <c r="V235" s="194"/>
      <c r="W235" s="195"/>
    </row>
    <row r="236" spans="1:23" s="192" customFormat="1" x14ac:dyDescent="0.2">
      <c r="A236"/>
      <c r="B236" s="191"/>
      <c r="V236" s="194"/>
      <c r="W236" s="195"/>
    </row>
    <row r="237" spans="1:23" s="192" customFormat="1" x14ac:dyDescent="0.2">
      <c r="A237"/>
      <c r="B237" s="191"/>
      <c r="V237" s="194"/>
      <c r="W237" s="195"/>
    </row>
    <row r="238" spans="1:23" s="192" customFormat="1" x14ac:dyDescent="0.2">
      <c r="A238"/>
      <c r="B238" s="191"/>
      <c r="V238" s="194"/>
      <c r="W238" s="195"/>
    </row>
    <row r="239" spans="1:23" s="192" customFormat="1" x14ac:dyDescent="0.2">
      <c r="A239"/>
      <c r="B239" s="191"/>
      <c r="V239" s="194"/>
      <c r="W239" s="195"/>
    </row>
    <row r="240" spans="1:23" s="192" customFormat="1" x14ac:dyDescent="0.2">
      <c r="A240"/>
      <c r="B240" s="191"/>
      <c r="V240" s="194"/>
      <c r="W240" s="195"/>
    </row>
    <row r="241" spans="1:23" s="192" customFormat="1" x14ac:dyDescent="0.2">
      <c r="A241"/>
      <c r="B241" s="191"/>
      <c r="V241" s="194"/>
      <c r="W241" s="195"/>
    </row>
    <row r="242" spans="1:23" s="192" customFormat="1" x14ac:dyDescent="0.2">
      <c r="A242"/>
      <c r="B242" s="191"/>
      <c r="V242" s="194"/>
      <c r="W242" s="195"/>
    </row>
    <row r="243" spans="1:23" s="192" customFormat="1" x14ac:dyDescent="0.2">
      <c r="A243"/>
      <c r="B243" s="191"/>
      <c r="V243" s="194"/>
      <c r="W243" s="195"/>
    </row>
    <row r="244" spans="1:23" s="192" customFormat="1" x14ac:dyDescent="0.2">
      <c r="A244"/>
      <c r="B244" s="191"/>
      <c r="V244" s="194"/>
      <c r="W244" s="195"/>
    </row>
    <row r="245" spans="1:23" s="192" customFormat="1" x14ac:dyDescent="0.2">
      <c r="A245"/>
      <c r="B245" s="191"/>
      <c r="V245" s="194"/>
      <c r="W245" s="195"/>
    </row>
    <row r="246" spans="1:23" s="192" customFormat="1" x14ac:dyDescent="0.2">
      <c r="A246"/>
      <c r="B246" s="191"/>
      <c r="V246" s="194"/>
      <c r="W246" s="195"/>
    </row>
    <row r="247" spans="1:23" s="192" customFormat="1" x14ac:dyDescent="0.2">
      <c r="A247"/>
      <c r="B247" s="191"/>
      <c r="V247" s="194"/>
      <c r="W247" s="195"/>
    </row>
    <row r="248" spans="1:23" s="192" customFormat="1" x14ac:dyDescent="0.2">
      <c r="A248"/>
      <c r="B248" s="191"/>
      <c r="V248" s="194"/>
      <c r="W248" s="195"/>
    </row>
    <row r="249" spans="1:23" s="192" customFormat="1" x14ac:dyDescent="0.2">
      <c r="A249"/>
      <c r="B249" s="191"/>
      <c r="V249" s="194"/>
      <c r="W249" s="195"/>
    </row>
    <row r="250" spans="1:23" s="192" customFormat="1" x14ac:dyDescent="0.2">
      <c r="A250"/>
      <c r="B250" s="191"/>
      <c r="V250" s="194"/>
      <c r="W250" s="195"/>
    </row>
    <row r="251" spans="1:23" s="192" customFormat="1" x14ac:dyDescent="0.2">
      <c r="A251"/>
      <c r="B251" s="191"/>
      <c r="V251" s="194"/>
      <c r="W251" s="195"/>
    </row>
    <row r="252" spans="1:23" s="192" customFormat="1" x14ac:dyDescent="0.2">
      <c r="A252"/>
      <c r="B252" s="191"/>
      <c r="V252" s="194"/>
      <c r="W252" s="195"/>
    </row>
    <row r="253" spans="1:23" s="192" customFormat="1" x14ac:dyDescent="0.2">
      <c r="A253"/>
      <c r="B253" s="191"/>
      <c r="V253" s="194"/>
      <c r="W253" s="195"/>
    </row>
    <row r="254" spans="1:23" s="192" customFormat="1" x14ac:dyDescent="0.2">
      <c r="A254"/>
      <c r="B254" s="191"/>
      <c r="V254" s="194"/>
      <c r="W254" s="195"/>
    </row>
    <row r="255" spans="1:23" s="192" customFormat="1" x14ac:dyDescent="0.2">
      <c r="A255"/>
      <c r="B255" s="191"/>
      <c r="V255" s="194"/>
      <c r="W255" s="195"/>
    </row>
    <row r="256" spans="1:23" s="192" customFormat="1" x14ac:dyDescent="0.2">
      <c r="A256"/>
      <c r="B256" s="191"/>
      <c r="V256" s="194"/>
      <c r="W256" s="195"/>
    </row>
    <row r="257" spans="1:23" s="192" customFormat="1" x14ac:dyDescent="0.2">
      <c r="A257"/>
      <c r="B257" s="191"/>
      <c r="V257" s="194"/>
      <c r="W257" s="195"/>
    </row>
    <row r="258" spans="1:23" s="192" customFormat="1" x14ac:dyDescent="0.2">
      <c r="A258"/>
      <c r="B258" s="191"/>
      <c r="V258" s="194"/>
      <c r="W258" s="195"/>
    </row>
    <row r="259" spans="1:23" s="192" customFormat="1" x14ac:dyDescent="0.2">
      <c r="A259"/>
      <c r="B259" s="191"/>
      <c r="V259" s="194"/>
      <c r="W259" s="195"/>
    </row>
    <row r="260" spans="1:23" s="192" customFormat="1" x14ac:dyDescent="0.2">
      <c r="A260"/>
      <c r="B260" s="191"/>
      <c r="V260" s="194"/>
      <c r="W260" s="195"/>
    </row>
    <row r="261" spans="1:23" s="192" customFormat="1" x14ac:dyDescent="0.2">
      <c r="A261"/>
      <c r="B261" s="191"/>
      <c r="V261" s="194"/>
      <c r="W261" s="195"/>
    </row>
    <row r="262" spans="1:23" s="192" customFormat="1" x14ac:dyDescent="0.2">
      <c r="A262"/>
      <c r="B262" s="191"/>
      <c r="V262" s="194"/>
      <c r="W262" s="195"/>
    </row>
    <row r="263" spans="1:23" s="192" customFormat="1" x14ac:dyDescent="0.2">
      <c r="A263"/>
      <c r="B263" s="191"/>
      <c r="V263" s="194"/>
      <c r="W263" s="195"/>
    </row>
    <row r="264" spans="1:23" s="192" customFormat="1" x14ac:dyDescent="0.2">
      <c r="A264"/>
      <c r="B264" s="191"/>
      <c r="V264" s="194"/>
      <c r="W264" s="195"/>
    </row>
    <row r="265" spans="1:23" s="192" customFormat="1" x14ac:dyDescent="0.2">
      <c r="A265"/>
      <c r="B265" s="191"/>
      <c r="V265" s="194"/>
      <c r="W265" s="195"/>
    </row>
    <row r="266" spans="1:23" s="192" customFormat="1" x14ac:dyDescent="0.2">
      <c r="A266"/>
      <c r="B266" s="191"/>
      <c r="V266" s="194"/>
      <c r="W266" s="195"/>
    </row>
    <row r="267" spans="1:23" s="192" customFormat="1" x14ac:dyDescent="0.2">
      <c r="A267"/>
      <c r="B267" s="191"/>
      <c r="V267" s="194"/>
      <c r="W267" s="195"/>
    </row>
    <row r="268" spans="1:23" s="192" customFormat="1" x14ac:dyDescent="0.2">
      <c r="A268"/>
      <c r="B268" s="191"/>
      <c r="V268" s="194"/>
      <c r="W268" s="195"/>
    </row>
    <row r="269" spans="1:23" s="192" customFormat="1" x14ac:dyDescent="0.2">
      <c r="A269"/>
      <c r="B269" s="191"/>
      <c r="V269" s="194"/>
      <c r="W269" s="195"/>
    </row>
    <row r="270" spans="1:23" s="192" customFormat="1" x14ac:dyDescent="0.2">
      <c r="A270"/>
      <c r="B270" s="191"/>
      <c r="V270" s="194"/>
      <c r="W270" s="195"/>
    </row>
    <row r="271" spans="1:23" s="192" customFormat="1" x14ac:dyDescent="0.2">
      <c r="A271"/>
      <c r="B271" s="191"/>
      <c r="V271" s="194"/>
      <c r="W271" s="195"/>
    </row>
  </sheetData>
  <mergeCells count="55">
    <mergeCell ref="B157:B165"/>
    <mergeCell ref="B166:B172"/>
    <mergeCell ref="B173:B177"/>
    <mergeCell ref="B123:B126"/>
    <mergeCell ref="B127:B131"/>
    <mergeCell ref="B132:B137"/>
    <mergeCell ref="B138:B142"/>
    <mergeCell ref="B143:B149"/>
    <mergeCell ref="B150:B156"/>
    <mergeCell ref="B86:B91"/>
    <mergeCell ref="B92:B98"/>
    <mergeCell ref="B99:B105"/>
    <mergeCell ref="B106:B111"/>
    <mergeCell ref="B112:B117"/>
    <mergeCell ref="B118:B122"/>
    <mergeCell ref="B42:B48"/>
    <mergeCell ref="B49:B53"/>
    <mergeCell ref="B54:B60"/>
    <mergeCell ref="B61:B67"/>
    <mergeCell ref="B68:B73"/>
    <mergeCell ref="B74:B85"/>
    <mergeCell ref="AB4:AB9"/>
    <mergeCell ref="AC4:AC9"/>
    <mergeCell ref="AD4:AD9"/>
    <mergeCell ref="H5:H9"/>
    <mergeCell ref="I5:I9"/>
    <mergeCell ref="J5:J9"/>
    <mergeCell ref="K5:K9"/>
    <mergeCell ref="L5:L9"/>
    <mergeCell ref="P5:P9"/>
    <mergeCell ref="Q5:Q9"/>
    <mergeCell ref="U4:U9"/>
    <mergeCell ref="V4:V9"/>
    <mergeCell ref="W4:W9"/>
    <mergeCell ref="X4:X9"/>
    <mergeCell ref="Y4:Y9"/>
    <mergeCell ref="Z4:AA4"/>
    <mergeCell ref="Z5:Z9"/>
    <mergeCell ref="AA5:AA9"/>
    <mergeCell ref="N4:N9"/>
    <mergeCell ref="O4:O9"/>
    <mergeCell ref="P4:Q4"/>
    <mergeCell ref="R4:R9"/>
    <mergeCell ref="S4:S9"/>
    <mergeCell ref="T4:T9"/>
    <mergeCell ref="B1:AD3"/>
    <mergeCell ref="B4:B9"/>
    <mergeCell ref="C4:C9"/>
    <mergeCell ref="D4:D9"/>
    <mergeCell ref="E4:E9"/>
    <mergeCell ref="F4:F9"/>
    <mergeCell ref="G4:G9"/>
    <mergeCell ref="H4:J4"/>
    <mergeCell ref="K4:L4"/>
    <mergeCell ref="M4:M9"/>
  </mergeCells>
  <pageMargins left="0" right="0" top="0" bottom="0" header="0.51181102362204722" footer="0.51181102362204722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сентябрь 2025 (5)</vt:lpstr>
      <vt:lpstr>'сентябрь 2025 (5)'!Заголовки_для_печати</vt:lpstr>
      <vt:lpstr>'сентябрь 2025 (5)'!Область_печати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Палладий Светлана Витальевна</dc:creator>
  <cp:lastModifiedBy>Палладий Светлана Витальевна</cp:lastModifiedBy>
  <dcterms:created xsi:type="dcterms:W3CDTF">2025-10-20T13:29:03Z</dcterms:created>
  <dcterms:modified xsi:type="dcterms:W3CDTF">2025-10-20T13:32:03Z</dcterms:modified>
</cp:coreProperties>
</file>